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975" windowWidth="7620" windowHeight="1485" firstSheet="3" activeTab="18"/>
  </bookViews>
  <sheets>
    <sheet name="вода" sheetId="1" state="hidden" r:id="rId1"/>
    <sheet name="ФОТ" sheetId="2" state="hidden" r:id="rId2"/>
    <sheet name="объемы" sheetId="3" state="hidden" r:id="rId3"/>
    <sheet name="прил 1 Вода" sheetId="4" r:id="rId4"/>
    <sheet name="прил1 Стоки" sheetId="15" r:id="rId5"/>
    <sheet name="прил2Стоки" sheetId="16" r:id="rId6"/>
    <sheet name="прил 2 Вода" sheetId="5" r:id="rId7"/>
    <sheet name="приложение 3" sheetId="6" state="hidden" r:id="rId8"/>
    <sheet name="прил4Стоки" sheetId="17" r:id="rId9"/>
    <sheet name="прил 4 Вода" sheetId="7" r:id="rId10"/>
    <sheet name="приложение 5" sheetId="8" state="hidden" r:id="rId11"/>
    <sheet name="приложение 6" sheetId="9" state="hidden" r:id="rId12"/>
    <sheet name="прил7Стоки" sheetId="19" r:id="rId13"/>
    <sheet name="прил7Вода" sheetId="10" r:id="rId14"/>
    <sheet name="электроэнергия" sheetId="11" state="hidden" r:id="rId15"/>
    <sheet name="ФОТ АУП" sheetId="12" state="hidden" r:id="rId16"/>
    <sheet name="водный налог" sheetId="13" state="hidden" r:id="rId17"/>
    <sheet name="прил3Стоки" sheetId="20" r:id="rId18"/>
    <sheet name="прил 3аВода" sheetId="14" r:id="rId19"/>
  </sheets>
  <definedNames>
    <definedName name="_xlnm.Print_Area" localSheetId="8">прил4Стоки!$A$1:$E$11</definedName>
    <definedName name="стокиобъем11" localSheetId="8">#REF!</definedName>
    <definedName name="стокиобъем11">#REF!</definedName>
    <definedName name="стокиобъем12" localSheetId="8">#REF!</definedName>
    <definedName name="стокиобъем12">#REF!</definedName>
    <definedName name="стокитариф11" localSheetId="8">#REF!</definedName>
    <definedName name="стокитариф11">#REF!</definedName>
    <definedName name="стокитариф12" localSheetId="8">#REF!</definedName>
    <definedName name="стокитариф12">#REF!</definedName>
  </definedNames>
  <calcPr calcId="124519"/>
</workbook>
</file>

<file path=xl/calcChain.xml><?xml version="1.0" encoding="utf-8"?>
<calcChain xmlns="http://schemas.openxmlformats.org/spreadsheetml/2006/main">
  <c r="E14" i="20"/>
  <c r="E13"/>
  <c r="E12"/>
  <c r="E10"/>
  <c r="E15" s="1"/>
  <c r="E9"/>
  <c r="C17" i="16"/>
  <c r="D17" s="1"/>
  <c r="D16"/>
  <c r="E16" s="1"/>
  <c r="E15"/>
  <c r="E14"/>
  <c r="D13"/>
  <c r="E13" s="1"/>
  <c r="D12"/>
  <c r="E12" s="1"/>
  <c r="D11"/>
  <c r="E11" s="1"/>
  <c r="D10"/>
  <c r="E10" s="1"/>
  <c r="E25" i="15"/>
  <c r="E24"/>
  <c r="E22"/>
  <c r="E21"/>
  <c r="E17"/>
  <c r="D15"/>
  <c r="E15" s="1"/>
  <c r="E14"/>
  <c r="E14" i="14"/>
  <c r="E15"/>
  <c r="E13"/>
  <c r="E12"/>
  <c r="E11"/>
  <c r="E10"/>
  <c r="E9"/>
  <c r="E26" i="4"/>
  <c r="I79" i="1"/>
  <c r="L52"/>
  <c r="L106"/>
  <c r="K106"/>
  <c r="L105"/>
  <c r="K105"/>
  <c r="I105" s="1"/>
  <c r="I106"/>
  <c r="O76"/>
  <c r="K76"/>
  <c r="M14"/>
  <c r="C95" i="9"/>
  <c r="C96" s="1"/>
  <c r="D83"/>
  <c r="D80" s="1"/>
  <c r="D84" s="1"/>
  <c r="H80"/>
  <c r="G80"/>
  <c r="F80"/>
  <c r="E80"/>
  <c r="D75"/>
  <c r="D62"/>
  <c r="I55"/>
  <c r="D45"/>
  <c r="I44"/>
  <c r="H44"/>
  <c r="G44"/>
  <c r="F44"/>
  <c r="E44"/>
  <c r="D44"/>
  <c r="I43"/>
  <c r="I84" s="1"/>
  <c r="H43"/>
  <c r="H84" s="1"/>
  <c r="G43"/>
  <c r="G84" s="1"/>
  <c r="F43"/>
  <c r="F84" s="1"/>
  <c r="E43"/>
  <c r="E84" s="1"/>
  <c r="D43"/>
  <c r="K109" i="8"/>
  <c r="F106"/>
  <c r="E106"/>
  <c r="K103"/>
  <c r="J103"/>
  <c r="I103"/>
  <c r="K99"/>
  <c r="J99"/>
  <c r="I99"/>
  <c r="H97"/>
  <c r="H96"/>
  <c r="F95"/>
  <c r="F96"/>
  <c r="E95"/>
  <c r="E96"/>
  <c r="D95"/>
  <c r="D96"/>
  <c r="H95" s="1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/>
  <c r="J49"/>
  <c r="J53"/>
  <c r="I49"/>
  <c r="I53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/>
  <c r="K33" s="1"/>
  <c r="K9" s="1"/>
  <c r="K83" s="1"/>
  <c r="J34"/>
  <c r="J38" s="1"/>
  <c r="J33" s="1"/>
  <c r="J9" s="1"/>
  <c r="J83" s="1"/>
  <c r="I34"/>
  <c r="I38"/>
  <c r="I33" s="1"/>
  <c r="H34"/>
  <c r="H33"/>
  <c r="H32"/>
  <c r="H31"/>
  <c r="H30"/>
  <c r="H29"/>
  <c r="H28"/>
  <c r="H27"/>
  <c r="H26"/>
  <c r="K25"/>
  <c r="K30"/>
  <c r="J25"/>
  <c r="J30"/>
  <c r="I25"/>
  <c r="I30"/>
  <c r="H25"/>
  <c r="H24"/>
  <c r="H23"/>
  <c r="H22"/>
  <c r="K21"/>
  <c r="J21"/>
  <c r="I21"/>
  <c r="H21"/>
  <c r="H20"/>
  <c r="H19"/>
  <c r="H18"/>
  <c r="H17"/>
  <c r="H16"/>
  <c r="K15"/>
  <c r="J15"/>
  <c r="I15"/>
  <c r="H15"/>
  <c r="K14"/>
  <c r="J14"/>
  <c r="I14"/>
  <c r="H14"/>
  <c r="K13"/>
  <c r="J13"/>
  <c r="I13"/>
  <c r="I12" s="1"/>
  <c r="I11" s="1"/>
  <c r="H13"/>
  <c r="K12"/>
  <c r="J12"/>
  <c r="J11"/>
  <c r="H12"/>
  <c r="H11"/>
  <c r="H10"/>
  <c r="A10" i="7"/>
  <c r="A11"/>
  <c r="A12" s="1"/>
  <c r="A13" s="1"/>
  <c r="A14" s="1"/>
  <c r="E15" i="6"/>
  <c r="E14"/>
  <c r="E13"/>
  <c r="E12"/>
  <c r="E11"/>
  <c r="E10"/>
  <c r="E16"/>
  <c r="E16" i="5"/>
  <c r="E15"/>
  <c r="E14"/>
  <c r="E13"/>
  <c r="E12"/>
  <c r="E11"/>
  <c r="E38" i="4"/>
  <c r="E37"/>
  <c r="E36"/>
  <c r="E35"/>
  <c r="E34"/>
  <c r="E20"/>
  <c r="E9" i="7"/>
  <c r="E12" i="4"/>
  <c r="K11" i="8"/>
  <c r="I42"/>
  <c r="K42"/>
  <c r="H94"/>
  <c r="J42"/>
  <c r="E10" i="5"/>
  <c r="E17" s="1"/>
  <c r="I29" i="8"/>
  <c r="K29"/>
  <c r="I37"/>
  <c r="K37"/>
  <c r="I52"/>
  <c r="K52"/>
  <c r="J29"/>
  <c r="J37"/>
  <c r="J52"/>
  <c r="L76" i="1"/>
  <c r="I76"/>
  <c r="M76" s="1"/>
  <c r="L14"/>
  <c r="L88"/>
  <c r="O88"/>
  <c r="L104"/>
  <c r="K104"/>
  <c r="L93"/>
  <c r="K93"/>
  <c r="C57" i="13"/>
  <c r="C58" s="1"/>
  <c r="E56"/>
  <c r="E55"/>
  <c r="C31"/>
  <c r="C32" s="1"/>
  <c r="E30"/>
  <c r="E29"/>
  <c r="C9"/>
  <c r="C10" s="1"/>
  <c r="E8"/>
  <c r="E7"/>
  <c r="O79" i="1"/>
  <c r="E66"/>
  <c r="E9" i="13"/>
  <c r="E10" s="1"/>
  <c r="E57"/>
  <c r="E58" s="1"/>
  <c r="E31"/>
  <c r="E32" s="1"/>
  <c r="M19" i="12"/>
  <c r="H11"/>
  <c r="I11"/>
  <c r="K11" s="1"/>
  <c r="L11" s="1"/>
  <c r="M11" s="1"/>
  <c r="H12"/>
  <c r="I12" s="1"/>
  <c r="H13"/>
  <c r="K13" s="1"/>
  <c r="L13" s="1"/>
  <c r="M13" s="1"/>
  <c r="H14"/>
  <c r="I14"/>
  <c r="K14" s="1"/>
  <c r="L14" s="1"/>
  <c r="M14" s="1"/>
  <c r="H15"/>
  <c r="I15" s="1"/>
  <c r="K15" s="1"/>
  <c r="L15" s="1"/>
  <c r="M15" s="1"/>
  <c r="H16"/>
  <c r="I16" s="1"/>
  <c r="K16" s="1"/>
  <c r="L16" s="1"/>
  <c r="M16" s="1"/>
  <c r="H10"/>
  <c r="I10"/>
  <c r="C17"/>
  <c r="L64" i="1"/>
  <c r="K64"/>
  <c r="K66"/>
  <c r="I13" i="12"/>
  <c r="K10"/>
  <c r="L57" i="1"/>
  <c r="K57"/>
  <c r="K60" s="1"/>
  <c r="K51"/>
  <c r="L42"/>
  <c r="K42"/>
  <c r="K45" s="1"/>
  <c r="M35"/>
  <c r="K33"/>
  <c r="L33"/>
  <c r="L23"/>
  <c r="L26"/>
  <c r="I33"/>
  <c r="I37" s="1"/>
  <c r="M37" s="1"/>
  <c r="K37"/>
  <c r="L10" i="12"/>
  <c r="M10" s="1"/>
  <c r="G23" i="1"/>
  <c r="L25"/>
  <c r="K25"/>
  <c r="F22" i="11"/>
  <c r="H22" s="1"/>
  <c r="F21"/>
  <c r="H21" s="1"/>
  <c r="F20"/>
  <c r="H20" s="1"/>
  <c r="F19"/>
  <c r="L19" s="1"/>
  <c r="L21" s="1"/>
  <c r="F18"/>
  <c r="H18" s="1"/>
  <c r="F17"/>
  <c r="H17" s="1"/>
  <c r="F16"/>
  <c r="H16" s="1"/>
  <c r="F15"/>
  <c r="L15" s="1"/>
  <c r="L17" s="1"/>
  <c r="F14"/>
  <c r="H14" s="1"/>
  <c r="F13"/>
  <c r="H13" s="1"/>
  <c r="F12"/>
  <c r="H12" s="1"/>
  <c r="F11"/>
  <c r="H11" s="1"/>
  <c r="L11" s="1"/>
  <c r="F10"/>
  <c r="H10"/>
  <c r="L10" s="1"/>
  <c r="R8"/>
  <c r="J5"/>
  <c r="F7"/>
  <c r="H7"/>
  <c r="L7" s="1"/>
  <c r="M7" s="1"/>
  <c r="F6"/>
  <c r="H6"/>
  <c r="L6" s="1"/>
  <c r="F5"/>
  <c r="H5" s="1"/>
  <c r="L5" s="1"/>
  <c r="S3"/>
  <c r="G14" i="1"/>
  <c r="O14" s="1"/>
  <c r="J10" i="11"/>
  <c r="H15"/>
  <c r="G29"/>
  <c r="L16"/>
  <c r="L20"/>
  <c r="C66" i="1"/>
  <c r="H60"/>
  <c r="C51"/>
  <c r="C50" s="1"/>
  <c r="D51"/>
  <c r="E51"/>
  <c r="H51"/>
  <c r="D21"/>
  <c r="C21"/>
  <c r="C97"/>
  <c r="D97"/>
  <c r="C91"/>
  <c r="D91"/>
  <c r="C87"/>
  <c r="D87"/>
  <c r="C67"/>
  <c r="D67"/>
  <c r="C62"/>
  <c r="D62"/>
  <c r="D50"/>
  <c r="C46"/>
  <c r="C41"/>
  <c r="D46"/>
  <c r="D41"/>
  <c r="C38"/>
  <c r="D38"/>
  <c r="C16"/>
  <c r="C15"/>
  <c r="C13" s="1"/>
  <c r="C95" s="1"/>
  <c r="D16"/>
  <c r="D15" s="1"/>
  <c r="D13" s="1"/>
  <c r="D95" s="1"/>
  <c r="I104"/>
  <c r="M17"/>
  <c r="M18"/>
  <c r="M19"/>
  <c r="M20"/>
  <c r="M32"/>
  <c r="M34"/>
  <c r="M36"/>
  <c r="M39"/>
  <c r="M40"/>
  <c r="M43"/>
  <c r="M44"/>
  <c r="M47"/>
  <c r="M48"/>
  <c r="M49"/>
  <c r="M53"/>
  <c r="M54"/>
  <c r="M55"/>
  <c r="M58"/>
  <c r="M59"/>
  <c r="M65"/>
  <c r="M71"/>
  <c r="M72"/>
  <c r="M73"/>
  <c r="M74"/>
  <c r="M75"/>
  <c r="M77"/>
  <c r="M78"/>
  <c r="M81"/>
  <c r="M82"/>
  <c r="M83"/>
  <c r="M84"/>
  <c r="M85"/>
  <c r="M89"/>
  <c r="M90"/>
  <c r="M79"/>
  <c r="L51"/>
  <c r="M52"/>
  <c r="I51"/>
  <c r="L60"/>
  <c r="I57"/>
  <c r="L66"/>
  <c r="M88"/>
  <c r="M104"/>
  <c r="J45"/>
  <c r="K30"/>
  <c r="K29" s="1"/>
  <c r="H97"/>
  <c r="E97"/>
  <c r="H29"/>
  <c r="J29"/>
  <c r="E29"/>
  <c r="J87"/>
  <c r="K87"/>
  <c r="L87"/>
  <c r="E87"/>
  <c r="H67"/>
  <c r="H62"/>
  <c r="J67"/>
  <c r="K67"/>
  <c r="L67"/>
  <c r="E67"/>
  <c r="E62" s="1"/>
  <c r="H66"/>
  <c r="J66"/>
  <c r="J51"/>
  <c r="H61"/>
  <c r="I61"/>
  <c r="J61"/>
  <c r="K61"/>
  <c r="K50" s="1"/>
  <c r="L61"/>
  <c r="E61"/>
  <c r="E50" s="1"/>
  <c r="J60"/>
  <c r="H46"/>
  <c r="H41" s="1"/>
  <c r="J46"/>
  <c r="J41" s="1"/>
  <c r="E46"/>
  <c r="E41" s="1"/>
  <c r="H45"/>
  <c r="E45"/>
  <c r="H37"/>
  <c r="E37"/>
  <c r="J24"/>
  <c r="K24"/>
  <c r="C28" i="3"/>
  <c r="C27"/>
  <c r="C26"/>
  <c r="C25"/>
  <c r="C24"/>
  <c r="C23"/>
  <c r="C4"/>
  <c r="C3" s="1"/>
  <c r="C11" s="1"/>
  <c r="C13"/>
  <c r="C12"/>
  <c r="C20" s="1"/>
  <c r="C22"/>
  <c r="C29" s="1"/>
  <c r="C21" s="1"/>
  <c r="M57" i="1"/>
  <c r="I60"/>
  <c r="M60" s="1"/>
  <c r="I64"/>
  <c r="I66"/>
  <c r="M66" s="1"/>
  <c r="K46"/>
  <c r="K41"/>
  <c r="M61"/>
  <c r="J50"/>
  <c r="H50"/>
  <c r="L24"/>
  <c r="I24"/>
  <c r="M24" s="1"/>
  <c r="L30"/>
  <c r="L29" s="1"/>
  <c r="I93"/>
  <c r="M93" s="1"/>
  <c r="M64"/>
  <c r="I67"/>
  <c r="M67"/>
  <c r="L45"/>
  <c r="L46"/>
  <c r="L41"/>
  <c r="I42"/>
  <c r="I30"/>
  <c r="I25"/>
  <c r="U22" i="2"/>
  <c r="P22"/>
  <c r="K22"/>
  <c r="T5"/>
  <c r="T6"/>
  <c r="T7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J5"/>
  <c r="J6"/>
  <c r="J7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D5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A5"/>
  <c r="A6" s="1"/>
  <c r="I45" i="1"/>
  <c r="M45" s="1"/>
  <c r="O9"/>
  <c r="I29"/>
  <c r="M42"/>
  <c r="I46"/>
  <c r="M46" s="1"/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4"/>
  <c r="H4"/>
  <c r="L4" s="1"/>
  <c r="G5"/>
  <c r="H5" s="1"/>
  <c r="L5" s="1"/>
  <c r="E38" i="1"/>
  <c r="E91"/>
  <c r="I41"/>
  <c r="M41" s="1"/>
  <c r="M33"/>
  <c r="J38"/>
  <c r="K38"/>
  <c r="L38"/>
  <c r="H38"/>
  <c r="L91"/>
  <c r="K91"/>
  <c r="J91"/>
  <c r="I91"/>
  <c r="M91" s="1"/>
  <c r="H91"/>
  <c r="H87"/>
  <c r="L80"/>
  <c r="K80"/>
  <c r="J80"/>
  <c r="I80"/>
  <c r="M80"/>
  <c r="H80"/>
  <c r="L70"/>
  <c r="L62" s="1"/>
  <c r="K70"/>
  <c r="K62" s="1"/>
  <c r="J70"/>
  <c r="J62" s="1"/>
  <c r="L50"/>
  <c r="L37"/>
  <c r="J37"/>
  <c r="I62"/>
  <c r="M62" s="1"/>
  <c r="I87"/>
  <c r="M87" s="1"/>
  <c r="I38"/>
  <c r="M38" s="1"/>
  <c r="M51"/>
  <c r="I50"/>
  <c r="M50"/>
  <c r="E16"/>
  <c r="E15" s="1"/>
  <c r="G16"/>
  <c r="H21"/>
  <c r="H16" s="1"/>
  <c r="H15" s="1"/>
  <c r="H13" s="1"/>
  <c r="H95" s="1"/>
  <c r="K21"/>
  <c r="L21"/>
  <c r="L16" s="1"/>
  <c r="L15" s="1"/>
  <c r="L13" s="1"/>
  <c r="L95" s="1"/>
  <c r="K16"/>
  <c r="K15" s="1"/>
  <c r="K13" s="1"/>
  <c r="K95" s="1"/>
  <c r="M22"/>
  <c r="E17" i="16" l="1"/>
  <c r="K102" i="1"/>
  <c r="K97" s="1"/>
  <c r="K96" s="1"/>
  <c r="K103"/>
  <c r="K107" s="1"/>
  <c r="K110" s="1"/>
  <c r="L102"/>
  <c r="L97" s="1"/>
  <c r="L96" s="1"/>
  <c r="L103"/>
  <c r="L107" s="1"/>
  <c r="L110" s="1"/>
  <c r="H103"/>
  <c r="H107" s="1"/>
  <c r="H96"/>
  <c r="Q4" i="2"/>
  <c r="M4"/>
  <c r="G6"/>
  <c r="H6" s="1"/>
  <c r="L6" s="1"/>
  <c r="A7"/>
  <c r="J8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L12" i="11"/>
  <c r="N10"/>
  <c r="N12" s="1"/>
  <c r="P17"/>
  <c r="L22"/>
  <c r="P22" s="1"/>
  <c r="U6" s="1"/>
  <c r="J84" i="8"/>
  <c r="J92"/>
  <c r="E93" i="9"/>
  <c r="E95" s="1"/>
  <c r="E96" s="1"/>
  <c r="E85"/>
  <c r="G93"/>
  <c r="G95" s="1"/>
  <c r="G96" s="1"/>
  <c r="G85"/>
  <c r="I93"/>
  <c r="I95" s="1"/>
  <c r="I96" s="1"/>
  <c r="I85"/>
  <c r="Q5" i="2"/>
  <c r="M5"/>
  <c r="T8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C96" i="1"/>
  <c r="C103"/>
  <c r="M5" i="11"/>
  <c r="L8"/>
  <c r="L13" s="1"/>
  <c r="U5" s="1"/>
  <c r="K92" i="8"/>
  <c r="K84"/>
  <c r="F93" i="9"/>
  <c r="F95" s="1"/>
  <c r="F96" s="1"/>
  <c r="F85"/>
  <c r="H93"/>
  <c r="H95" s="1"/>
  <c r="H96" s="1"/>
  <c r="H85"/>
  <c r="D93"/>
  <c r="D95" s="1"/>
  <c r="D96" s="1"/>
  <c r="D85"/>
  <c r="I21" i="1"/>
  <c r="D96"/>
  <c r="E13"/>
  <c r="E95" s="1"/>
  <c r="I9" i="8"/>
  <c r="I83" s="1"/>
  <c r="P23" i="2"/>
  <c r="H19" i="11"/>
  <c r="K12" i="12"/>
  <c r="L12" s="1"/>
  <c r="M12" s="1"/>
  <c r="M17" s="1"/>
  <c r="M20" s="1"/>
  <c r="E103" i="1" l="1"/>
  <c r="E107" s="1"/>
  <c r="E96"/>
  <c r="I23"/>
  <c r="M23" s="1"/>
  <c r="I16"/>
  <c r="M21"/>
  <c r="K105" i="8"/>
  <c r="K111"/>
  <c r="K94"/>
  <c r="K95" s="1"/>
  <c r="P5" i="11"/>
  <c r="P8" s="1"/>
  <c r="M13"/>
  <c r="V5" i="2"/>
  <c r="W5" s="1"/>
  <c r="R5"/>
  <c r="M6"/>
  <c r="Q6"/>
  <c r="R4"/>
  <c r="V4"/>
  <c r="W4" s="1"/>
  <c r="K17" i="12"/>
  <c r="U23" i="2"/>
  <c r="I98" i="9"/>
  <c r="K23" i="2"/>
  <c r="H110" i="1"/>
  <c r="I92" i="8"/>
  <c r="I84"/>
  <c r="J105"/>
  <c r="J94"/>
  <c r="J95" s="1"/>
  <c r="N13" i="11"/>
  <c r="P12"/>
  <c r="A8" i="2"/>
  <c r="G7"/>
  <c r="H7" s="1"/>
  <c r="L7" s="1"/>
  <c r="G8" l="1"/>
  <c r="H8" s="1"/>
  <c r="L8" s="1"/>
  <c r="A9"/>
  <c r="I94" i="8"/>
  <c r="I95" s="1"/>
  <c r="I97" s="1"/>
  <c r="I105"/>
  <c r="Q7" i="2"/>
  <c r="M7"/>
  <c r="P13" i="11"/>
  <c r="V6" i="2"/>
  <c r="W6" s="1"/>
  <c r="R6"/>
  <c r="I15" i="1"/>
  <c r="M16"/>
  <c r="K97" i="8"/>
  <c r="M8" i="2" l="1"/>
  <c r="Q8"/>
  <c r="V7"/>
  <c r="W7" s="1"/>
  <c r="R7"/>
  <c r="I13" i="1"/>
  <c r="M15"/>
  <c r="G9" i="2"/>
  <c r="H9" s="1"/>
  <c r="L9" s="1"/>
  <c r="A10"/>
  <c r="J97" i="8"/>
  <c r="Q9" i="2" l="1"/>
  <c r="M9"/>
  <c r="I95" i="1"/>
  <c r="M13"/>
  <c r="G10" i="2"/>
  <c r="H10" s="1"/>
  <c r="L10" s="1"/>
  <c r="A11"/>
  <c r="V8"/>
  <c r="W8" s="1"/>
  <c r="R8"/>
  <c r="M10" l="1"/>
  <c r="Q10"/>
  <c r="I102" i="1"/>
  <c r="I97" s="1"/>
  <c r="I96" s="1"/>
  <c r="V9" i="2"/>
  <c r="W9" s="1"/>
  <c r="R9"/>
  <c r="A12"/>
  <c r="G11"/>
  <c r="H11" s="1"/>
  <c r="L11" s="1"/>
  <c r="M11" l="1"/>
  <c r="Q11"/>
  <c r="V10"/>
  <c r="W10" s="1"/>
  <c r="R10"/>
  <c r="A13"/>
  <c r="G12"/>
  <c r="H12" s="1"/>
  <c r="L12" s="1"/>
  <c r="I103" i="1"/>
  <c r="I107" s="1"/>
  <c r="I110" s="1"/>
  <c r="Q12" i="2" l="1"/>
  <c r="M12"/>
  <c r="V11"/>
  <c r="W11" s="1"/>
  <c r="R11"/>
  <c r="A14"/>
  <c r="G13"/>
  <c r="H13" s="1"/>
  <c r="L13" s="1"/>
  <c r="Q13" l="1"/>
  <c r="M13"/>
  <c r="A15"/>
  <c r="G14"/>
  <c r="H14" s="1"/>
  <c r="L14" s="1"/>
  <c r="R12"/>
  <c r="V12"/>
  <c r="W12" s="1"/>
  <c r="Q14" l="1"/>
  <c r="M14"/>
  <c r="A16"/>
  <c r="G15"/>
  <c r="H15" s="1"/>
  <c r="L15" s="1"/>
  <c r="R13"/>
  <c r="V13"/>
  <c r="W13" s="1"/>
  <c r="M15" l="1"/>
  <c r="Q15"/>
  <c r="A17"/>
  <c r="G16"/>
  <c r="H16" s="1"/>
  <c r="L16" s="1"/>
  <c r="R14"/>
  <c r="V14"/>
  <c r="W14" s="1"/>
  <c r="Q16" l="1"/>
  <c r="M16"/>
  <c r="V15"/>
  <c r="W15" s="1"/>
  <c r="R15"/>
  <c r="A18"/>
  <c r="G17"/>
  <c r="H17" s="1"/>
  <c r="L17" s="1"/>
  <c r="M17" l="1"/>
  <c r="Q17"/>
  <c r="A19"/>
  <c r="G18"/>
  <c r="H18" s="1"/>
  <c r="L18" s="1"/>
  <c r="R16"/>
  <c r="V16"/>
  <c r="W16" s="1"/>
  <c r="Q18" l="1"/>
  <c r="M18"/>
  <c r="V17"/>
  <c r="W17" s="1"/>
  <c r="R17"/>
  <c r="A20"/>
  <c r="G19"/>
  <c r="H19" s="1"/>
  <c r="L19" s="1"/>
  <c r="M19" l="1"/>
  <c r="Q19"/>
  <c r="A21"/>
  <c r="G21" s="1"/>
  <c r="H21" s="1"/>
  <c r="L21" s="1"/>
  <c r="G20"/>
  <c r="H20" s="1"/>
  <c r="L20" s="1"/>
  <c r="R18"/>
  <c r="V18"/>
  <c r="W18" s="1"/>
  <c r="M20" l="1"/>
  <c r="Q20"/>
  <c r="V19"/>
  <c r="W19" s="1"/>
  <c r="R19"/>
  <c r="Q21"/>
  <c r="M21"/>
  <c r="M22" s="1"/>
  <c r="V20" l="1"/>
  <c r="W20" s="1"/>
  <c r="R20"/>
  <c r="R21"/>
  <c r="V21"/>
  <c r="W21" s="1"/>
  <c r="W22" s="1"/>
  <c r="R22" l="1"/>
  <c r="J96" i="1"/>
  <c r="J97"/>
  <c r="J102"/>
  <c r="J95"/>
  <c r="J103"/>
  <c r="J107"/>
  <c r="J110"/>
  <c r="J22"/>
  <c r="J21"/>
  <c r="J16"/>
  <c r="J15"/>
  <c r="J13"/>
</calcChain>
</file>

<file path=xl/sharedStrings.xml><?xml version="1.0" encoding="utf-8"?>
<sst xmlns="http://schemas.openxmlformats.org/spreadsheetml/2006/main" count="1069" uniqueCount="486">
  <si>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</si>
  <si>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</si>
  <si>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</si>
  <si>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</si>
  <si>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</si>
  <si>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</si>
  <si>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</si>
  <si>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</si>
  <si>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</si>
  <si>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</si>
  <si>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</si>
  <si>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</si>
  <si>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</si>
  <si>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</si>
  <si>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</si>
  <si>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</si>
  <si>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</si>
  <si>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</si>
  <si>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</si>
  <si>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</si>
  <si>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</si>
  <si>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</si>
  <si>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</si>
  <si>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</si>
  <si>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</si>
  <si>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</si>
  <si>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</si>
  <si>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</si>
  <si>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</si>
  <si>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</si>
  <si>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</si>
  <si>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</si>
  <si>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</si>
  <si>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</si>
  <si>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</si>
  <si>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</si>
  <si>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</si>
  <si>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</si>
  <si>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</si>
  <si>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</si>
  <si>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</si>
  <si>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</si>
  <si>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</si>
  <si>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</si>
  <si>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</si>
  <si>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</si>
  <si>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</si>
  <si>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</si>
  <si>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</si>
  <si>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</si>
  <si>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</si>
  <si>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</si>
  <si>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</si>
  <si>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</si>
  <si>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</si>
  <si>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</si>
  <si>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</si>
  <si>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</si>
  <si>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</si>
  <si>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</si>
  <si>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</si>
  <si>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</si>
  <si>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</si>
  <si>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</si>
  <si>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</si>
  <si>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</si>
  <si>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</si>
  <si>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</si>
  <si>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</si>
  <si>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</si>
  <si>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</si>
  <si>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</si>
  <si>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</si>
  <si>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</si>
  <si>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</si>
  <si>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</si>
  <si>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</si>
  <si>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</si>
  <si>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</si>
  <si>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</si>
  <si>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</si>
  <si>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</si>
  <si>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</si>
  <si>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</si>
  <si>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</si>
  <si>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</si>
  <si>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</si>
  <si>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</si>
  <si>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</si>
  <si>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</si>
  <si>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</si>
  <si>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</si>
  <si>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</si>
  <si>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</si>
  <si>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</si>
  <si>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</si>
  <si>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</si>
  <si>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</si>
  <si>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</si>
  <si>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</si>
  <si>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</si>
  <si>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</si>
  <si>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</si>
  <si>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</si>
  <si>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</si>
  <si>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</si>
  <si>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</si>
  <si>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</si>
  <si>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</si>
  <si>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</si>
  <si>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</si>
  <si>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</si>
  <si>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</si>
  <si>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</si>
  <si>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</si>
  <si>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</si>
  <si>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</si>
  <si>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</si>
  <si>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</si>
  <si>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</si>
  <si>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</si>
  <si>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</si>
  <si>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</si>
  <si>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</si>
  <si>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</si>
  <si>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</si>
  <si>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</si>
  <si>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</si>
  <si>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</si>
  <si>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</si>
  <si>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</si>
  <si>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</si>
  <si>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</si>
  <si>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</si>
  <si>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</si>
  <si>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</si>
  <si>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</si>
  <si>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</si>
  <si>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</si>
  <si>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</si>
  <si>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</si>
  <si>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</si>
  <si>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</si>
  <si>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</si>
  <si>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</si>
  <si>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</si>
  <si>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</si>
  <si>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</si>
  <si>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</si>
  <si>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</si>
  <si>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</si>
  <si>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</si>
  <si>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</si>
  <si>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</si>
  <si>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</si>
  <si>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</si>
  <si>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</si>
  <si>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</si>
  <si>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</si>
  <si>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</si>
  <si>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</si>
  <si>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</si>
  <si>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</si>
  <si>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</si>
  <si>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</si>
  <si>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</si>
  <si>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</si>
  <si>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</si>
  <si>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</si>
  <si>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</si>
  <si>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</si>
  <si>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</si>
  <si>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</si>
  <si>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</si>
  <si>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</si>
  <si>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</si>
  <si>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</si>
  <si>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</si>
  <si>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</si>
  <si>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</si>
  <si>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</si>
  <si>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</si>
  <si>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</si>
  <si>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</si>
  <si>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</si>
  <si>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</si>
  <si>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</si>
  <si>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</si>
  <si>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</si>
  <si>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</si>
  <si>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</si>
  <si>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</si>
  <si>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</si>
  <si>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</si>
  <si>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</si>
  <si>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</si>
  <si>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</si>
  <si>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</si>
  <si>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</si>
  <si>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</si>
  <si>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</si>
  <si>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</si>
  <si>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</si>
  <si>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</si>
  <si>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</si>
  <si>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</si>
  <si>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</si>
  <si>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</si>
  <si>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</si>
  <si>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</si>
  <si>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</si>
  <si>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</si>
  <si>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</si>
  <si>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</si>
  <si>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</si>
  <si>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</si>
  <si>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</si>
  <si>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</si>
  <si>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</si>
  <si>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</si>
  <si>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</si>
  <si>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</si>
  <si>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</si>
  <si>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</si>
  <si>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</si>
  <si>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</si>
  <si>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</si>
  <si>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</si>
  <si>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</si>
  <si>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</si>
  <si>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</si>
  <si>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</si>
  <si>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</si>
  <si>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</si>
  <si>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</si>
  <si>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</si>
  <si>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</si>
  <si>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</si>
  <si>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</si>
  <si>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</si>
  <si>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</si>
  <si>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</si>
  <si>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</si>
  <si>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</si>
  <si>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</si>
  <si>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</si>
  <si>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</si>
  <si>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</si>
  <si>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</si>
  <si>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</si>
  <si>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</si>
  <si>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</si>
  <si>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</si>
  <si>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</si>
  <si>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</si>
  <si>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</si>
  <si>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</si>
  <si>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</si>
  <si>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</si>
  <si>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</si>
  <si>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</si>
  <si>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</si>
  <si>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</si>
  <si>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</si>
  <si>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</si>
  <si>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</si>
  <si>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</si>
  <si>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</si>
  <si>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</si>
  <si>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</si>
  <si>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</si>
  <si>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</si>
  <si>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</si>
  <si>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</si>
  <si>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</si>
  <si>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</si>
  <si>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</si>
  <si>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</si>
  <si>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</si>
  <si>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</si>
  <si>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</si>
  <si>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</si>
  <si>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</si>
  <si>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</si>
  <si>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</si>
  <si>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</si>
  <si>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</si>
  <si>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</si>
  <si>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</si>
  <si>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</si>
  <si>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</si>
  <si>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</si>
  <si>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</si>
  <si>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</si>
  <si>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</si>
  <si>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</si>
  <si>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</si>
  <si>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</si>
  <si>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</si>
  <si>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</si>
  <si>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</si>
  <si>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</si>
  <si>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</si>
  <si>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</si>
  <si>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</si>
  <si>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</si>
  <si>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</si>
  <si>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</si>
  <si>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</si>
  <si>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</si>
  <si>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</si>
  <si>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</si>
  <si>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</si>
  <si>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</si>
  <si>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</si>
  <si>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</si>
  <si>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</si>
  <si>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</si>
  <si>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</si>
  <si>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</si>
  <si>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</si>
  <si>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</si>
  <si>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</si>
  <si>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</si>
  <si>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</si>
  <si>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</si>
  <si>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</si>
  <si>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</si>
  <si>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</si>
  <si>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</si>
  <si>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</si>
  <si>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</si>
  <si>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</si>
  <si>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</si>
  <si>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</si>
  <si>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</si>
  <si>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</si>
  <si>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</si>
  <si>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</si>
  <si>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</si>
  <si>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</si>
  <si>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</si>
  <si>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</si>
  <si>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</si>
  <si>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</si>
  <si>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</si>
  <si>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</si>
  <si>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</si>
  <si>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</si>
  <si>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</si>
  <si>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</si>
  <si>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</si>
  <si>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</si>
  <si>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</si>
  <si>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</si>
  <si>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</si>
  <si>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</si>
  <si>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</si>
  <si>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</si>
  <si>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</si>
  <si>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</si>
  <si>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</si>
  <si>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</si>
  <si>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</si>
  <si>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</si>
  <si>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</si>
  <si>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</si>
  <si>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</si>
  <si>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</si>
  <si>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</si>
  <si>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</si>
  <si>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</si>
  <si>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</si>
  <si>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</si>
  <si>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</si>
  <si>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</si>
  <si>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</si>
  <si>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</si>
  <si>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</si>
  <si>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</si>
  <si>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</si>
  <si>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</si>
  <si>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</si>
  <si>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</si>
  <si>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</si>
  <si>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</si>
  <si>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</si>
  <si>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</si>
  <si>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</si>
  <si>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</si>
  <si>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</si>
  <si>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</si>
  <si>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</si>
  <si>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</si>
  <si>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</si>
  <si>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</si>
  <si>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</si>
  <si>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</si>
  <si>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</si>
  <si>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</si>
  <si>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</si>
  <si>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</si>
  <si>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</si>
  <si>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</si>
  <si>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</si>
  <si>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</si>
  <si>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</si>
  <si>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</si>
  <si>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</si>
  <si>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</si>
  <si>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</si>
  <si>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</si>
  <si>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</si>
  <si>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</si>
  <si>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</si>
  <si>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</si>
  <si>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</si>
  <si>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</si>
  <si>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</si>
  <si>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</si>
  <si>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</si>
  <si>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</si>
  <si>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</si>
  <si>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</si>
  <si>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</si>
  <si>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</si>
  <si>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</si>
  <si>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</si>
  <si>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</si>
  <si>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</si>
  <si>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</si>
  <si>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</si>
  <si>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</si>
  <si>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</si>
  <si>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</si>
  <si>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</si>
  <si>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</si>
  <si>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</si>
  <si>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</si>
  <si>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</si>
  <si>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</si>
  <si>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</si>
  <si>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</si>
  <si>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</si>
  <si>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</si>
  <si>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</si>
  <si>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</si>
  <si>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</si>
  <si>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</si>
  <si>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кг/м3 (г/м3)</t>
  </si>
  <si>
    <t xml:space="preserve">Приложение № 1 к экспертному заключению по делу № 159-13в </t>
  </si>
  <si>
    <t>муниципального унитарного предприятия жилищно-коммунального хозяйства ЗАТО Солнечный (Ужурский район, ЗАТО Солнечный, ИНН 24439005538)</t>
  </si>
  <si>
    <t>Приложение № 2 к экспертному заключению по делу № 159-13в</t>
  </si>
  <si>
    <t>муниципального унитарного предприятия жилищно-коммунального хозяйства ЗАТО Солнечный (Ужурский район, ЗАТО Солнечный, ИНН 2439005538)</t>
  </si>
  <si>
    <t>Приложение № 4 к экспертному заключению по делу № 159-13в</t>
  </si>
  <si>
    <t>Приложение № 7 к экспертному заключению по делу № 159-13в</t>
  </si>
  <si>
    <t>Приложение № 3 к экспертному заключению по делу № 159-13в</t>
  </si>
  <si>
    <t>Величина прибыли, необходимой для эффективного функционирования  муниципального унитарного предприятия жилищно-коммунального хозяйства ЗАТО Солнечный (Ужурский район, ЗАТО Солнечный, ИНН 2439005538)</t>
  </si>
  <si>
    <t>Примечание: тарифы установлены с учетом применения указанной организацией, осуществляющей регулируемую деятельность, общей системы налогообложения.</t>
  </si>
  <si>
    <t>Приложение № 1 
к экспертному заключению 
по делу № 159-13в</t>
  </si>
  <si>
    <t>Анализ основных технико – экономических показателей муниципального унитарного предприятия жилищно-коммунального хозяйства ЗАТО Солнечный (Ужурский район, ЗАТО Солнечный, ИНН 2439005538)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</si>
  <si>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</si>
  <si>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</si>
  <si>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</si>
  <si>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Пропущено сточных вод всего (реализация), в т.ч.</t>
  </si>
  <si>
    <t>от населения</t>
  </si>
  <si>
    <t>от бюджетных организаций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</si>
  <si>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</si>
  <si>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</si>
  <si>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</si>
  <si>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</si>
  <si>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на очистку сточных вод</t>
  </si>
  <si>
    <t>Норматив технологических  затрат химреагентов</t>
  </si>
  <si>
    <t>кг/м3 (л/м3)</t>
  </si>
  <si>
    <t xml:space="preserve">14.1. </t>
  </si>
  <si>
    <t>Приложение № 2 
к экспертному заключению 
по делу № 159-13в</t>
  </si>
  <si>
    <t>Расходы, учтенные и неучтенные при расчете тарифов на водоотведение муниципального унитарного предприятия жилищно-коммунального хозяйства ЗАТО Солнечный (Ужурский район, ЗАТО Солнечный, ИНН 2439005538)</t>
  </si>
  <si>
    <t>к экспертому и к протоколу</t>
  </si>
  <si>
    <t>Приложение № 4
к экспертному заключению 
по делу № 159-13в</t>
  </si>
  <si>
    <t>Целевые показатели деятельности муниципального унитарного предприятия жилищно-коммунального хозяйства ЗАТО Солнечный (Ужурский район, ЗАТО Солнечный, ИНН 2439005538)</t>
  </si>
  <si>
    <t>Доля сточных вод, подвергающихся очистке в общем объеме сбрасываемых сточных вод</t>
  </si>
  <si>
    <t>Численность населения, получающего услугу водоотведения</t>
  </si>
  <si>
    <t>Удельный расход электроэнергии на транспортировку сточных вод</t>
  </si>
  <si>
    <t>Удельный расход электроэнергии на очистку сточных вод</t>
  </si>
  <si>
    <t>Тарифы на водоотведение для потребителей муниципального унитарного предприятия жидищно-коммунального хозяйства ЗАТО Солнечный (Ужурский район, ЗАТО Солнечный, ИНН 2439005538)</t>
  </si>
  <si>
    <t>Водоотведение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</si>
</sst>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"/>
    <numFmt numFmtId="167" formatCode="0.0000"/>
  </numFmts>
  <fonts count="4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6"/>
      <color indexed="4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3" fillId="0" borderId="0"/>
    <xf numFmtId="0" fontId="39" fillId="0" borderId="0"/>
    <xf numFmtId="0" fontId="13" fillId="0" borderId="0"/>
    <xf numFmtId="0" fontId="33" fillId="0" borderId="0"/>
    <xf numFmtId="0" fontId="33" fillId="0" borderId="0"/>
    <xf numFmtId="0" fontId="40" fillId="0" borderId="0"/>
    <xf numFmtId="0" fontId="13" fillId="0" borderId="0"/>
    <xf numFmtId="0" fontId="33" fillId="0" borderId="0"/>
  </cellStyleXfs>
  <cellXfs count="446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4" xfId="0" applyFont="1" applyBorder="1"/>
    <xf numFmtId="0" fontId="16" fillId="0" borderId="0" xfId="0" applyFont="1"/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6" xfId="0" applyFont="1" applyBorder="1"/>
    <xf numFmtId="0" fontId="0" fillId="3" borderId="5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6" xfId="0" applyNumberFormat="1" applyFont="1" applyFill="1" applyBorder="1"/>
    <xf numFmtId="0" fontId="0" fillId="0" borderId="7" xfId="0" applyBorder="1"/>
    <xf numFmtId="0" fontId="1" fillId="6" borderId="1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2" fontId="1" fillId="6" borderId="10" xfId="0" applyNumberFormat="1" applyFont="1" applyFill="1" applyBorder="1"/>
    <xf numFmtId="164" fontId="1" fillId="0" borderId="1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3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0" borderId="4" xfId="0" applyBorder="1"/>
    <xf numFmtId="2" fontId="1" fillId="0" borderId="9" xfId="0" applyNumberFormat="1" applyFont="1" applyFill="1" applyBorder="1"/>
    <xf numFmtId="0" fontId="0" fillId="0" borderId="11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/>
    <xf numFmtId="49" fontId="27" fillId="0" borderId="5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wrapText="1"/>
    </xf>
    <xf numFmtId="0" fontId="30" fillId="0" borderId="1" xfId="4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5" applyFont="1"/>
    <xf numFmtId="0" fontId="30" fillId="0" borderId="0" xfId="5" applyFont="1" applyAlignment="1">
      <alignment horizontal="center"/>
    </xf>
    <xf numFmtId="0" fontId="31" fillId="0" borderId="0" xfId="5" applyFont="1" applyFill="1" applyAlignment="1"/>
    <xf numFmtId="0" fontId="31" fillId="0" borderId="0" xfId="5" applyFont="1"/>
    <xf numFmtId="0" fontId="31" fillId="0" borderId="0" xfId="5" applyFont="1" applyAlignment="1">
      <alignment horizontal="center"/>
    </xf>
    <xf numFmtId="0" fontId="30" fillId="0" borderId="0" xfId="5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5" applyFont="1" applyBorder="1" applyAlignment="1">
      <alignment horizontal="center" vertical="center" wrapText="1"/>
    </xf>
    <xf numFmtId="0" fontId="30" fillId="0" borderId="1" xfId="5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22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3" applyAlignment="1">
      <alignment wrapText="1"/>
    </xf>
    <xf numFmtId="0" fontId="31" fillId="0" borderId="0" xfId="3" applyFont="1" applyAlignment="1">
      <alignment wrapText="1"/>
    </xf>
    <xf numFmtId="0" fontId="35" fillId="0" borderId="0" xfId="3" applyFont="1" applyAlignment="1">
      <alignment wrapText="1"/>
    </xf>
    <xf numFmtId="0" fontId="31" fillId="0" borderId="0" xfId="3" applyFont="1" applyAlignment="1">
      <alignment horizontal="right" wrapText="1"/>
    </xf>
    <xf numFmtId="0" fontId="36" fillId="0" borderId="0" xfId="3" applyFont="1" applyAlignment="1">
      <alignment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left" vertical="center" wrapText="1"/>
    </xf>
    <xf numFmtId="0" fontId="30" fillId="0" borderId="1" xfId="3" applyFont="1" applyBorder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8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/>
    <xf numFmtId="0" fontId="0" fillId="0" borderId="6" xfId="0" applyBorder="1"/>
    <xf numFmtId="0" fontId="7" fillId="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0" xfId="0" applyFill="1"/>
    <xf numFmtId="0" fontId="1" fillId="0" borderId="0" xfId="0" applyFont="1"/>
    <xf numFmtId="0" fontId="1" fillId="8" borderId="0" xfId="0" applyFont="1" applyFill="1"/>
    <xf numFmtId="0" fontId="8" fillId="8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9" fillId="0" borderId="0" xfId="2"/>
    <xf numFmtId="0" fontId="39" fillId="0" borderId="0" xfId="2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13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7" fillId="0" borderId="11" xfId="0" applyFont="1" applyBorder="1" applyAlignment="1">
      <alignment horizontal="center"/>
    </xf>
    <xf numFmtId="165" fontId="30" fillId="0" borderId="0" xfId="5" applyNumberFormat="1" applyFont="1" applyAlignment="1">
      <alignment horizontal="center"/>
    </xf>
    <xf numFmtId="10" fontId="7" fillId="0" borderId="1" xfId="3" applyNumberFormat="1" applyFont="1" applyBorder="1" applyAlignment="1">
      <alignment horizontal="center" vertical="center" wrapText="1"/>
    </xf>
    <xf numFmtId="2" fontId="7" fillId="0" borderId="1" xfId="3" applyNumberFormat="1" applyFont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1" xfId="5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0" xfId="6" applyFont="1" applyAlignment="1">
      <alignment vertical="center" wrapText="1"/>
    </xf>
    <xf numFmtId="0" fontId="32" fillId="0" borderId="0" xfId="6" applyFont="1" applyAlignment="1">
      <alignment vertical="center" wrapText="1"/>
    </xf>
    <xf numFmtId="0" fontId="22" fillId="0" borderId="0" xfId="6" applyFont="1" applyAlignment="1">
      <alignment horizontal="right"/>
    </xf>
    <xf numFmtId="0" fontId="30" fillId="0" borderId="1" xfId="6" applyFont="1" applyBorder="1" applyAlignment="1">
      <alignment horizontal="center" vertical="center" wrapText="1"/>
    </xf>
    <xf numFmtId="0" fontId="30" fillId="0" borderId="1" xfId="6" applyFont="1" applyBorder="1" applyAlignment="1">
      <alignment vertical="center" wrapText="1"/>
    </xf>
    <xf numFmtId="164" fontId="7" fillId="0" borderId="1" xfId="6" applyNumberFormat="1" applyFont="1" applyBorder="1" applyAlignment="1">
      <alignment horizontal="center" vertical="center" wrapText="1"/>
    </xf>
    <xf numFmtId="164" fontId="7" fillId="0" borderId="1" xfId="6" applyNumberFormat="1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20" fillId="0" borderId="0" xfId="5" applyFont="1" applyFill="1" applyAlignment="1"/>
    <xf numFmtId="0" fontId="20" fillId="0" borderId="0" xfId="5" applyFont="1"/>
    <xf numFmtId="0" fontId="20" fillId="0" borderId="0" xfId="5" applyFont="1" applyAlignment="1">
      <alignment horizontal="center"/>
    </xf>
    <xf numFmtId="0" fontId="30" fillId="0" borderId="0" xfId="5" applyFont="1" applyAlignment="1">
      <alignment horizontal="center" wrapText="1"/>
    </xf>
    <xf numFmtId="2" fontId="7" fillId="0" borderId="28" xfId="1" applyNumberFormat="1" applyFont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41" fillId="0" borderId="0" xfId="5" applyFont="1"/>
    <xf numFmtId="2" fontId="7" fillId="0" borderId="1" xfId="1" applyNumberFormat="1" applyFont="1" applyBorder="1" applyAlignment="1">
      <alignment horizontal="center" vertical="center" wrapText="1"/>
    </xf>
    <xf numFmtId="0" fontId="20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20" fillId="0" borderId="0" xfId="3" applyFont="1" applyAlignment="1">
      <alignment horizontal="right" wrapText="1"/>
    </xf>
    <xf numFmtId="0" fontId="20" fillId="0" borderId="0" xfId="3" applyFont="1" applyAlignment="1">
      <alignment horizontal="center" wrapText="1"/>
    </xf>
    <xf numFmtId="0" fontId="7" fillId="0" borderId="1" xfId="6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26" xfId="6" applyFont="1" applyBorder="1" applyAlignment="1">
      <alignment horizontal="center" vertical="center" wrapText="1"/>
    </xf>
    <xf numFmtId="0" fontId="20" fillId="0" borderId="26" xfId="6" applyFont="1" applyBorder="1" applyAlignment="1">
      <alignment vertical="center" wrapText="1"/>
    </xf>
    <xf numFmtId="0" fontId="22" fillId="0" borderId="26" xfId="6" applyFont="1" applyBorder="1" applyAlignment="1">
      <alignment horizontal="center" vertical="center" wrapText="1"/>
    </xf>
    <xf numFmtId="2" fontId="22" fillId="0" borderId="26" xfId="6" applyNumberFormat="1" applyFont="1" applyBorder="1" applyAlignment="1">
      <alignment horizontal="center" vertical="center" wrapText="1"/>
    </xf>
    <xf numFmtId="0" fontId="20" fillId="0" borderId="1" xfId="6" applyFont="1" applyBorder="1" applyAlignment="1">
      <alignment vertical="center" wrapText="1"/>
    </xf>
    <xf numFmtId="0" fontId="22" fillId="0" borderId="1" xfId="6" applyFont="1" applyBorder="1" applyAlignment="1">
      <alignment horizontal="center" vertical="center" wrapText="1"/>
    </xf>
    <xf numFmtId="2" fontId="22" fillId="0" borderId="1" xfId="6" applyNumberFormat="1" applyFont="1" applyBorder="1" applyAlignment="1">
      <alignment horizontal="center" vertical="center" wrapText="1"/>
    </xf>
    <xf numFmtId="0" fontId="23" fillId="0" borderId="0" xfId="6" applyFont="1"/>
    <xf numFmtId="0" fontId="40" fillId="0" borderId="0" xfId="6"/>
    <xf numFmtId="0" fontId="20" fillId="0" borderId="0" xfId="6" applyFont="1" applyAlignment="1"/>
    <xf numFmtId="0" fontId="20" fillId="0" borderId="0" xfId="6" applyFont="1"/>
    <xf numFmtId="0" fontId="19" fillId="0" borderId="0" xfId="6" applyFont="1"/>
    <xf numFmtId="0" fontId="22" fillId="0" borderId="22" xfId="6" applyFont="1" applyBorder="1" applyAlignment="1">
      <alignment horizontal="center"/>
    </xf>
    <xf numFmtId="0" fontId="22" fillId="0" borderId="0" xfId="6" applyFont="1" applyAlignment="1"/>
    <xf numFmtId="0" fontId="30" fillId="0" borderId="26" xfId="6" applyFont="1" applyBorder="1" applyAlignment="1">
      <alignment horizontal="center" vertical="center" wrapText="1"/>
    </xf>
    <xf numFmtId="0" fontId="40" fillId="0" borderId="0" xfId="6" applyAlignment="1">
      <alignment horizontal="center" vertical="center"/>
    </xf>
    <xf numFmtId="0" fontId="7" fillId="0" borderId="1" xfId="6" applyFont="1" applyBorder="1" applyAlignment="1">
      <alignment horizontal="left" vertical="center" wrapText="1"/>
    </xf>
    <xf numFmtId="2" fontId="7" fillId="0" borderId="1" xfId="6" applyNumberFormat="1" applyFont="1" applyBorder="1" applyAlignment="1">
      <alignment horizontal="center" vertical="center" wrapText="1"/>
    </xf>
    <xf numFmtId="0" fontId="7" fillId="0" borderId="14" xfId="6" applyFont="1" applyFill="1" applyBorder="1" applyAlignment="1" applyProtection="1">
      <alignment vertical="center" wrapText="1"/>
    </xf>
    <xf numFmtId="0" fontId="30" fillId="0" borderId="1" xfId="6" applyFont="1" applyBorder="1" applyAlignment="1">
      <alignment wrapText="1"/>
    </xf>
    <xf numFmtId="0" fontId="42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0" fillId="0" borderId="0" xfId="6" applyFont="1" applyAlignment="1">
      <alignment horizontal="left" vertical="center" wrapText="1"/>
    </xf>
    <xf numFmtId="0" fontId="20" fillId="0" borderId="0" xfId="6" applyFont="1" applyAlignment="1">
      <alignment horizontal="center" vertical="center" wrapText="1"/>
    </xf>
    <xf numFmtId="0" fontId="30" fillId="0" borderId="26" xfId="6" applyFont="1" applyBorder="1" applyAlignment="1">
      <alignment horizontal="center" vertical="center" wrapText="1"/>
    </xf>
    <xf numFmtId="0" fontId="30" fillId="0" borderId="29" xfId="6" applyFont="1" applyBorder="1" applyAlignment="1">
      <alignment horizontal="center" vertical="center" wrapText="1"/>
    </xf>
    <xf numFmtId="0" fontId="30" fillId="0" borderId="28" xfId="6" applyFont="1" applyBorder="1" applyAlignment="1">
      <alignment horizontal="center" vertical="center" wrapText="1"/>
    </xf>
    <xf numFmtId="0" fontId="30" fillId="0" borderId="12" xfId="6" applyFont="1" applyBorder="1" applyAlignment="1">
      <alignment horizontal="center" vertical="center" wrapText="1"/>
    </xf>
    <xf numFmtId="0" fontId="30" fillId="0" borderId="13" xfId="6" applyFont="1" applyBorder="1" applyAlignment="1">
      <alignment horizontal="center" vertical="center" wrapText="1"/>
    </xf>
    <xf numFmtId="0" fontId="20" fillId="0" borderId="0" xfId="5" applyFont="1" applyFill="1" applyAlignment="1">
      <alignment horizontal="left" wrapText="1"/>
    </xf>
    <xf numFmtId="0" fontId="20" fillId="0" borderId="0" xfId="5" applyFont="1" applyFill="1" applyAlignment="1">
      <alignment horizontal="left"/>
    </xf>
    <xf numFmtId="0" fontId="20" fillId="0" borderId="0" xfId="5" applyFont="1" applyAlignment="1">
      <alignment horizontal="center" vertical="center" wrapText="1"/>
    </xf>
    <xf numFmtId="0" fontId="30" fillId="0" borderId="1" xfId="5" applyFont="1" applyBorder="1" applyAlignment="1">
      <alignment horizontal="center" vertical="center" wrapText="1"/>
    </xf>
    <xf numFmtId="0" fontId="31" fillId="0" borderId="0" xfId="5" applyFont="1" applyFill="1" applyAlignment="1">
      <alignment horizontal="left" vertical="center" wrapText="1"/>
    </xf>
    <xf numFmtId="0" fontId="31" fillId="0" borderId="0" xfId="5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0" xfId="3" applyFont="1" applyAlignment="1">
      <alignment horizontal="left" wrapText="1"/>
    </xf>
    <xf numFmtId="0" fontId="20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3" applyFont="1" applyAlignment="1">
      <alignment horizontal="left" wrapText="1"/>
    </xf>
    <xf numFmtId="0" fontId="31" fillId="0" borderId="0" xfId="3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6" applyFont="1" applyBorder="1" applyAlignment="1">
      <alignment vertical="center" wrapText="1"/>
    </xf>
    <xf numFmtId="0" fontId="20" fillId="0" borderId="0" xfId="2" applyFont="1" applyAlignment="1">
      <alignment horizontal="justify" vertical="center" wrapText="1"/>
    </xf>
    <xf numFmtId="0" fontId="20" fillId="0" borderId="0" xfId="2" applyFont="1" applyAlignment="1">
      <alignment horizontal="left" wrapText="1"/>
    </xf>
    <xf numFmtId="0" fontId="20" fillId="0" borderId="0" xfId="2" applyFont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26" xfId="6" applyFont="1" applyBorder="1" applyAlignment="1">
      <alignment horizontal="center" vertical="center" wrapText="1"/>
    </xf>
    <xf numFmtId="0" fontId="20" fillId="0" borderId="28" xfId="6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0" xfId="2" applyFont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2" fontId="1" fillId="5" borderId="10" xfId="0" applyNumberFormat="1" applyFont="1" applyFill="1" applyBorder="1" applyAlignment="1"/>
    <xf numFmtId="0" fontId="1" fillId="10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0" fillId="0" borderId="0" xfId="6" applyFont="1" applyAlignment="1">
      <alignment horizontal="center" wrapText="1"/>
    </xf>
    <xf numFmtId="0" fontId="30" fillId="0" borderId="1" xfId="6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4" fontId="7" fillId="0" borderId="13" xfId="6" applyNumberFormat="1" applyFont="1" applyBorder="1" applyAlignment="1">
      <alignment horizontal="center" vertical="center" wrapText="1"/>
    </xf>
    <xf numFmtId="164" fontId="7" fillId="0" borderId="28" xfId="6" applyNumberFormat="1" applyFont="1" applyFill="1" applyBorder="1" applyAlignment="1">
      <alignment horizontal="center" vertical="center" wrapText="1"/>
    </xf>
    <xf numFmtId="164" fontId="7" fillId="0" borderId="1" xfId="6" applyNumberFormat="1" applyFont="1" applyBorder="1" applyAlignment="1">
      <alignment horizontal="center"/>
    </xf>
    <xf numFmtId="164" fontId="7" fillId="0" borderId="1" xfId="6" applyNumberFormat="1" applyFont="1" applyBorder="1" applyAlignment="1">
      <alignment horizontal="left" indent="3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8" xfId="1" applyNumberFormat="1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7"/>
    <cellStyle name="Обычный 2 2 2" xfId="8"/>
    <cellStyle name="Обычный 3" xfId="6"/>
    <cellStyle name="Обычный 4" xfId="2"/>
    <cellStyle name="Обычный_г. Сосновоборск, ООО СтройКом" xfId="3"/>
    <cellStyle name="Обычный_Экспертное заключение ОАО Красноярская ТЭЦ-1 Водоотведение (приложения 1-7)" xfId="4"/>
    <cellStyle name="Обычный_Экспертное заключение ООО Типтур Водоотведение (приложения 1-7)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/>
  <cols>
    <col min="1" max="1" width="9.28515625" customWidth="1"/>
    <col min="2" max="2" width="41.7109375" customWidth="1"/>
    <col min="3" max="3" width="15.28515625" style="81" customWidth="1"/>
    <col min="4" max="4" width="15.7109375" style="81" customWidth="1"/>
    <col min="5" max="5" width="15.5703125" style="81" customWidth="1"/>
    <col min="6" max="7" width="15.5703125" style="81" hidden="1" customWidth="1"/>
    <col min="8" max="8" width="16" style="81" customWidth="1"/>
    <col min="9" max="9" width="14.140625" style="81" customWidth="1"/>
    <col min="10" max="10" width="17.85546875" style="81" hidden="1" customWidth="1"/>
    <col min="11" max="11" width="14.7109375" style="81" customWidth="1"/>
    <col min="12" max="12" width="14" style="81" customWidth="1"/>
    <col min="13" max="13" width="7.140625" style="81" hidden="1" customWidth="1"/>
    <col min="14" max="14" width="88.85546875" customWidth="1"/>
    <col min="15" max="15" width="9.140625" hidden="1" customWidth="1"/>
    <col min="16" max="16" width="9.5703125" customWidth="1"/>
  </cols>
  <sheetData>
    <row r="1" spans="1:24" s="81" customFormat="1" ht="36" hidden="1" customHeight="1" outlineLevel="1">
      <c r="H1" s="112"/>
      <c r="I1" s="112"/>
      <c r="J1" s="346" t="s">
        <v>140</v>
      </c>
      <c r="K1" s="346"/>
      <c r="L1" s="346"/>
    </row>
    <row r="2" spans="1:24" s="81" customFormat="1" hidden="1" outlineLevel="1">
      <c r="J2" s="113"/>
      <c r="K2" s="113"/>
      <c r="L2" s="113"/>
    </row>
    <row r="3" spans="1:24" s="81" customFormat="1" ht="12.95" hidden="1" customHeight="1" outlineLevel="1">
      <c r="A3" s="347" t="s">
        <v>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s="81" customFormat="1" ht="12.95" hidden="1" customHeight="1" outlineLevel="1">
      <c r="A4" s="347" t="s">
        <v>435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s="81" customFormat="1" ht="15.75" hidden="1" outlineLevel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s="81" customFormat="1" ht="12.95" hidden="1" customHeight="1" outlineLevel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</row>
    <row r="7" spans="1:24" s="81" customFormat="1" ht="12.95" hidden="1" customHeight="1" outlineLevel="1">
      <c r="A7" s="343" t="s">
        <v>436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</row>
    <row r="8" spans="1:24" s="81" customFormat="1" ht="12.95" hidden="1" customHeight="1" outlineLevel="1">
      <c r="A8" s="343" t="s">
        <v>437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116"/>
    </row>
    <row r="9" spans="1:24" s="81" customFormat="1" hidden="1" outlineLevel="1">
      <c r="O9" s="135">
        <f>I33+I42+I57</f>
        <v>2129.3160984000001</v>
      </c>
    </row>
    <row r="10" spans="1:24" s="81" customFormat="1" ht="59.25" customHeight="1" collapsed="1">
      <c r="A10" s="349"/>
      <c r="B10" s="350" t="s">
        <v>1</v>
      </c>
      <c r="C10" s="344" t="s">
        <v>199</v>
      </c>
      <c r="D10" s="344" t="s">
        <v>200</v>
      </c>
      <c r="E10" s="344" t="s">
        <v>201</v>
      </c>
      <c r="F10" s="344" t="s">
        <v>250</v>
      </c>
      <c r="G10" s="344" t="s">
        <v>263</v>
      </c>
      <c r="H10" s="350" t="s">
        <v>202</v>
      </c>
      <c r="I10" s="350" t="s">
        <v>2</v>
      </c>
      <c r="J10" s="350" t="s">
        <v>141</v>
      </c>
      <c r="K10" s="350"/>
      <c r="L10" s="350"/>
      <c r="M10" s="351" t="s">
        <v>143</v>
      </c>
      <c r="N10" s="105"/>
    </row>
    <row r="11" spans="1:24" s="81" customFormat="1" ht="48.6" customHeight="1">
      <c r="A11" s="349"/>
      <c r="B11" s="350"/>
      <c r="C11" s="345"/>
      <c r="D11" s="345"/>
      <c r="E11" s="345"/>
      <c r="F11" s="345"/>
      <c r="G11" s="345"/>
      <c r="H11" s="350"/>
      <c r="I11" s="350"/>
      <c r="J11" s="71" t="s">
        <v>3</v>
      </c>
      <c r="K11" s="71" t="s">
        <v>262</v>
      </c>
      <c r="L11" s="71" t="s">
        <v>4</v>
      </c>
      <c r="M11" s="352"/>
      <c r="N11" s="105"/>
    </row>
    <row r="12" spans="1:24" s="81" customFormat="1" ht="16.7" customHeight="1">
      <c r="A12" s="117">
        <v>1</v>
      </c>
      <c r="B12" s="118">
        <v>2</v>
      </c>
      <c r="C12" s="118">
        <v>3</v>
      </c>
      <c r="D12" s="118">
        <v>4</v>
      </c>
      <c r="E12" s="118">
        <v>5</v>
      </c>
      <c r="F12" s="118"/>
      <c r="G12" s="118"/>
      <c r="H12" s="118">
        <v>6</v>
      </c>
      <c r="I12" s="118">
        <v>7</v>
      </c>
      <c r="J12" s="118">
        <v>5</v>
      </c>
      <c r="K12" s="118">
        <v>8</v>
      </c>
      <c r="L12" s="118">
        <v>9</v>
      </c>
      <c r="M12" s="119">
        <v>10</v>
      </c>
      <c r="N12" s="120">
        <v>9</v>
      </c>
    </row>
    <row r="13" spans="1:24" s="114" customFormat="1" ht="17.45" customHeight="1">
      <c r="A13" s="71">
        <v>1</v>
      </c>
      <c r="B13" s="24" t="s">
        <v>5</v>
      </c>
      <c r="C13" s="121">
        <f>C14+C15+C33+C38+C41</f>
        <v>320.745991</v>
      </c>
      <c r="D13" s="121">
        <f>D14+D15+D33+D38+D41</f>
        <v>368.84052799999995</v>
      </c>
      <c r="E13" s="121">
        <f>E14+E15+E33+E38+E41</f>
        <v>1992.67824</v>
      </c>
      <c r="F13" s="121"/>
      <c r="G13" s="121"/>
      <c r="H13" s="121">
        <f>H14+H15+H33+H38+H41</f>
        <v>3744.7008469400002</v>
      </c>
      <c r="I13" s="121">
        <f>I14+I15+I33+I38+I41</f>
        <v>2384.6659580420005</v>
      </c>
      <c r="J13" s="121">
        <f ca="1">J14+J15+J33+J38+J41</f>
        <v>2439.009443608667</v>
      </c>
      <c r="K13" s="121">
        <f>K14+K15+K33+K38+K41</f>
        <v>1324.4711986320003</v>
      </c>
      <c r="L13" s="121">
        <f>L14+L15+L33+L38+L41</f>
        <v>1060.19475941</v>
      </c>
      <c r="M13" s="80">
        <f>I13/E13*100</f>
        <v>119.6714005389049</v>
      </c>
      <c r="N13" s="122"/>
      <c r="P13" s="274"/>
      <c r="Q13" s="274"/>
    </row>
    <row r="14" spans="1:24" s="81" customFormat="1" ht="36" customHeight="1">
      <c r="A14" s="71" t="s">
        <v>6</v>
      </c>
      <c r="B14" s="72" t="s">
        <v>7</v>
      </c>
      <c r="C14" s="17">
        <v>0.32</v>
      </c>
      <c r="D14" s="17">
        <v>0</v>
      </c>
      <c r="E14" s="17">
        <v>1.91</v>
      </c>
      <c r="F14" s="79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0">
        <f>I14/E14*100</f>
        <v>121.98952879581154</v>
      </c>
      <c r="N14" s="22" t="s">
        <v>264</v>
      </c>
      <c r="O14" s="81">
        <f>G14/12*14</f>
        <v>2.3308366666666664</v>
      </c>
    </row>
    <row r="15" spans="1:24" s="81" customFormat="1" ht="18.600000000000001" customHeight="1">
      <c r="A15" s="71" t="s">
        <v>8</v>
      </c>
      <c r="B15" s="72" t="s">
        <v>9</v>
      </c>
      <c r="C15" s="17">
        <f t="shared" ref="C15:L15" si="0">C16+C27+C28+C29</f>
        <v>22.319771000000003</v>
      </c>
      <c r="D15" s="17">
        <f t="shared" si="0"/>
        <v>93.597728000000004</v>
      </c>
      <c r="E15" s="17">
        <f t="shared" si="0"/>
        <v>138.67000000000002</v>
      </c>
      <c r="F15" s="17"/>
      <c r="G15" s="17"/>
      <c r="H15" s="17">
        <f t="shared" si="0"/>
        <v>960.85080693999998</v>
      </c>
      <c r="I15" s="17">
        <f t="shared" si="0"/>
        <v>186.17080885000001</v>
      </c>
      <c r="J15" s="17">
        <f t="shared" ca="1" si="0"/>
        <v>1059.6200000000001</v>
      </c>
      <c r="K15" s="17">
        <f t="shared" si="0"/>
        <v>103.07034400000001</v>
      </c>
      <c r="L15" s="17">
        <f t="shared" si="0"/>
        <v>83.100464850000009</v>
      </c>
      <c r="M15" s="80">
        <f t="shared" ref="M15:M77" si="1">I15/E15*100</f>
        <v>134.25456757049108</v>
      </c>
      <c r="N15" s="105"/>
    </row>
    <row r="16" spans="1:24" s="81" customFormat="1" ht="21.6" customHeight="1">
      <c r="A16" s="71" t="s">
        <v>10</v>
      </c>
      <c r="B16" s="72" t="s">
        <v>11</v>
      </c>
      <c r="C16" s="17">
        <f t="shared" ref="C16:L16" si="2">C21+C24</f>
        <v>22.319771000000003</v>
      </c>
      <c r="D16" s="17">
        <f t="shared" si="2"/>
        <v>93.597728000000004</v>
      </c>
      <c r="E16" s="17">
        <f t="shared" si="2"/>
        <v>138.67000000000002</v>
      </c>
      <c r="F16" s="17">
        <v>1.075</v>
      </c>
      <c r="G16" s="17">
        <f>E16*F16</f>
        <v>149.07025000000002</v>
      </c>
      <c r="H16" s="17">
        <f t="shared" si="2"/>
        <v>960.85080693999998</v>
      </c>
      <c r="I16" s="17">
        <f t="shared" si="2"/>
        <v>186.17080885000001</v>
      </c>
      <c r="J16" s="17">
        <f t="shared" ca="1" si="2"/>
        <v>1059.6200000000001</v>
      </c>
      <c r="K16" s="17">
        <f t="shared" si="2"/>
        <v>103.07034400000001</v>
      </c>
      <c r="L16" s="17">
        <f t="shared" si="2"/>
        <v>83.100464850000009</v>
      </c>
      <c r="M16" s="80">
        <f t="shared" si="1"/>
        <v>134.25456757049108</v>
      </c>
      <c r="N16" s="106"/>
    </row>
    <row r="17" spans="1:14" s="81" customFormat="1" ht="16.350000000000001" hidden="1" customHeight="1">
      <c r="A17" s="71" t="s">
        <v>12</v>
      </c>
      <c r="B17" s="72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0" t="e">
        <f t="shared" si="1"/>
        <v>#DIV/0!</v>
      </c>
      <c r="N17" s="105"/>
    </row>
    <row r="18" spans="1:14" s="111" customFormat="1" ht="16.7" hidden="1" customHeight="1">
      <c r="A18" s="107"/>
      <c r="B18" s="108" t="s">
        <v>14</v>
      </c>
      <c r="C18" s="109"/>
      <c r="D18" s="109"/>
      <c r="E18" s="109"/>
      <c r="F18" s="109"/>
      <c r="G18" s="109"/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80" t="e">
        <f t="shared" si="1"/>
        <v>#DIV/0!</v>
      </c>
      <c r="N18" s="110"/>
    </row>
    <row r="19" spans="1:14" s="111" customFormat="1" ht="15.6" hidden="1" customHeight="1">
      <c r="A19" s="107"/>
      <c r="B19" s="108" t="s">
        <v>15</v>
      </c>
      <c r="C19" s="109"/>
      <c r="D19" s="109"/>
      <c r="E19" s="109"/>
      <c r="F19" s="109"/>
      <c r="G19" s="109"/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80" t="e">
        <f t="shared" si="1"/>
        <v>#DIV/0!</v>
      </c>
      <c r="N19" s="110"/>
    </row>
    <row r="20" spans="1:14" s="111" customFormat="1" ht="15.6" hidden="1" customHeight="1">
      <c r="A20" s="71" t="s">
        <v>12</v>
      </c>
      <c r="B20" s="72" t="s">
        <v>178</v>
      </c>
      <c r="C20" s="17"/>
      <c r="D20" s="17"/>
      <c r="E20" s="109"/>
      <c r="F20" s="109"/>
      <c r="G20" s="109"/>
      <c r="H20" s="109"/>
      <c r="I20" s="109"/>
      <c r="J20" s="109"/>
      <c r="K20" s="109"/>
      <c r="L20" s="109"/>
      <c r="M20" s="80" t="e">
        <f t="shared" si="1"/>
        <v>#DIV/0!</v>
      </c>
      <c r="N20" s="110"/>
    </row>
    <row r="21" spans="1:14" s="81" customFormat="1" ht="60" customHeight="1">
      <c r="A21" s="71" t="s">
        <v>12</v>
      </c>
      <c r="B21" s="72" t="s">
        <v>259</v>
      </c>
      <c r="C21" s="17">
        <f>C22*C23</f>
        <v>14.889771000000001</v>
      </c>
      <c r="D21" s="17">
        <f>D22*D23</f>
        <v>85.897728000000001</v>
      </c>
      <c r="E21" s="17">
        <v>92.51</v>
      </c>
      <c r="F21" s="17"/>
      <c r="G21" s="17"/>
      <c r="H21" s="17">
        <f>H22*H23</f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0">
        <f t="shared" si="1"/>
        <v>134.25949383850394</v>
      </c>
      <c r="N21" s="22" t="s">
        <v>303</v>
      </c>
    </row>
    <row r="22" spans="1:14" s="111" customFormat="1" ht="16.350000000000001" customHeight="1">
      <c r="A22" s="107"/>
      <c r="B22" s="108" t="s">
        <v>14</v>
      </c>
      <c r="C22" s="109">
        <v>6.4710000000000001</v>
      </c>
      <c r="D22" s="109">
        <v>26.63</v>
      </c>
      <c r="E22" s="109">
        <v>38.82</v>
      </c>
      <c r="F22" s="109"/>
      <c r="G22" s="109"/>
      <c r="H22" s="109">
        <v>250.76300000000001</v>
      </c>
      <c r="I22" s="109">
        <v>45.29</v>
      </c>
      <c r="J22" s="109">
        <f ca="1">J21/J23</f>
        <v>444.48184818481849</v>
      </c>
      <c r="K22" s="109">
        <v>25.88</v>
      </c>
      <c r="L22" s="109">
        <v>19.41</v>
      </c>
      <c r="M22" s="80">
        <f t="shared" si="1"/>
        <v>116.66666666666667</v>
      </c>
      <c r="N22" s="110"/>
    </row>
    <row r="23" spans="1:14" s="111" customFormat="1" ht="18.600000000000001" customHeight="1">
      <c r="A23" s="107"/>
      <c r="B23" s="108" t="s">
        <v>15</v>
      </c>
      <c r="C23" s="109">
        <v>2.3010000000000002</v>
      </c>
      <c r="D23" s="109">
        <v>3.2256</v>
      </c>
      <c r="E23" s="109">
        <v>2.383</v>
      </c>
      <c r="F23" s="109">
        <v>1.075</v>
      </c>
      <c r="G23" s="109">
        <f>E23*F23</f>
        <v>2.561725</v>
      </c>
      <c r="H23" s="109">
        <v>3.55938</v>
      </c>
      <c r="I23" s="109">
        <f>I21/I22</f>
        <v>2.7424035714285719</v>
      </c>
      <c r="J23" s="109">
        <v>3.03</v>
      </c>
      <c r="K23" s="109">
        <v>2.657</v>
      </c>
      <c r="L23" s="109">
        <f>K23*F23</f>
        <v>2.8562750000000001</v>
      </c>
      <c r="M23" s="80">
        <f t="shared" si="1"/>
        <v>115.08197949763206</v>
      </c>
      <c r="N23" s="110"/>
    </row>
    <row r="24" spans="1:14" s="111" customFormat="1" ht="64.5" customHeight="1">
      <c r="A24" s="71" t="s">
        <v>16</v>
      </c>
      <c r="B24" s="72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0">
        <f t="shared" si="1"/>
        <v>134.24469475736569</v>
      </c>
      <c r="N24" s="22" t="s">
        <v>304</v>
      </c>
    </row>
    <row r="25" spans="1:14" s="111" customFormat="1" ht="26.25" customHeight="1">
      <c r="A25" s="107"/>
      <c r="B25" s="108" t="s">
        <v>14</v>
      </c>
      <c r="C25" s="109">
        <v>0</v>
      </c>
      <c r="D25" s="109">
        <v>0</v>
      </c>
      <c r="E25" s="109">
        <v>0</v>
      </c>
      <c r="F25" s="109"/>
      <c r="G25" s="109"/>
      <c r="H25" s="109">
        <v>0</v>
      </c>
      <c r="I25" s="109">
        <f>K25+L25</f>
        <v>22.596000000000004</v>
      </c>
      <c r="J25" s="109"/>
      <c r="K25" s="109">
        <f>22.596/14*8</f>
        <v>12.912000000000001</v>
      </c>
      <c r="L25" s="109">
        <f>22.596/14*6</f>
        <v>9.6840000000000011</v>
      </c>
      <c r="M25" s="80"/>
      <c r="N25" s="110"/>
    </row>
    <row r="26" spans="1:14" s="111" customFormat="1" ht="18.600000000000001" customHeight="1">
      <c r="A26" s="107"/>
      <c r="B26" s="108" t="s">
        <v>15</v>
      </c>
      <c r="C26" s="109">
        <v>0</v>
      </c>
      <c r="D26" s="109">
        <v>0</v>
      </c>
      <c r="E26" s="109">
        <v>0</v>
      </c>
      <c r="F26" s="109">
        <v>1.075</v>
      </c>
      <c r="G26" s="109"/>
      <c r="H26" s="109">
        <v>0</v>
      </c>
      <c r="I26" s="109">
        <v>2.85</v>
      </c>
      <c r="J26" s="109"/>
      <c r="K26" s="109">
        <v>2.657</v>
      </c>
      <c r="L26" s="109">
        <f>K26*F26</f>
        <v>2.8562750000000001</v>
      </c>
      <c r="M26" s="80"/>
      <c r="N26" s="110"/>
    </row>
    <row r="27" spans="1:14" s="81" customFormat="1" ht="19.7" customHeight="1">
      <c r="A27" s="71" t="s">
        <v>17</v>
      </c>
      <c r="B27" s="72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0"/>
      <c r="N27" s="123"/>
    </row>
    <row r="28" spans="1:14" s="81" customFormat="1" ht="23.45" customHeight="1">
      <c r="A28" s="71" t="s">
        <v>19</v>
      </c>
      <c r="B28" s="72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0"/>
      <c r="N28" s="12"/>
    </row>
    <row r="29" spans="1:14" s="81" customFormat="1" ht="19.350000000000001" customHeight="1">
      <c r="A29" s="71" t="s">
        <v>21</v>
      </c>
      <c r="B29" s="72" t="s">
        <v>22</v>
      </c>
      <c r="C29" s="17">
        <v>0</v>
      </c>
      <c r="D29" s="17">
        <v>0</v>
      </c>
      <c r="E29" s="17">
        <f t="shared" ref="E29:L29" si="3">E30*E31</f>
        <v>0</v>
      </c>
      <c r="F29" s="17"/>
      <c r="G29" s="17"/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80"/>
      <c r="N29" s="123"/>
    </row>
    <row r="30" spans="1:14" s="111" customFormat="1" ht="19.350000000000001" customHeight="1">
      <c r="A30" s="107" t="s">
        <v>23</v>
      </c>
      <c r="B30" s="108" t="s">
        <v>24</v>
      </c>
      <c r="C30" s="109">
        <v>0</v>
      </c>
      <c r="D30" s="109">
        <v>0</v>
      </c>
      <c r="E30" s="109">
        <v>0</v>
      </c>
      <c r="F30" s="109"/>
      <c r="G30" s="109"/>
      <c r="H30" s="109">
        <v>0</v>
      </c>
      <c r="I30" s="109">
        <f>K30+L30</f>
        <v>0</v>
      </c>
      <c r="J30" s="109">
        <v>0</v>
      </c>
      <c r="K30" s="109">
        <f>H30/2</f>
        <v>0</v>
      </c>
      <c r="L30" s="109">
        <f>K30</f>
        <v>0</v>
      </c>
      <c r="M30" s="80"/>
      <c r="N30" s="110"/>
    </row>
    <row r="31" spans="1:14" s="111" customFormat="1" ht="16.7" customHeight="1">
      <c r="A31" s="107" t="s">
        <v>25</v>
      </c>
      <c r="B31" s="108" t="s">
        <v>26</v>
      </c>
      <c r="C31" s="109">
        <v>0</v>
      </c>
      <c r="D31" s="109">
        <v>0</v>
      </c>
      <c r="E31" s="109">
        <v>0</v>
      </c>
      <c r="F31" s="109"/>
      <c r="G31" s="109"/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80"/>
      <c r="N31" s="110"/>
    </row>
    <row r="32" spans="1:14" ht="34.700000000000003" hidden="1" customHeight="1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0" t="e">
        <f t="shared" si="1"/>
        <v>#DIV/0!</v>
      </c>
      <c r="N32" s="11"/>
    </row>
    <row r="33" spans="1:15" s="81" customFormat="1" ht="66" customHeight="1">
      <c r="A33" s="71" t="s">
        <v>27</v>
      </c>
      <c r="B33" s="72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28">
        <f>4741*1.125*1.4*1.6*(3*1.23+2*1.11+1*1.36+1*1.11)*8/1000</f>
        <v>800.94833280000012</v>
      </c>
      <c r="L33" s="129">
        <f>5040*1.125*1.4*1.6*(3*1.23+2*1.11+1*1.36+1*1.11)*6/1000</f>
        <v>638.59622399999989</v>
      </c>
      <c r="M33" s="80">
        <f t="shared" si="1"/>
        <v>120.95183558789427</v>
      </c>
      <c r="N33" s="130" t="s">
        <v>305</v>
      </c>
    </row>
    <row r="34" spans="1:15" s="111" customFormat="1" ht="93.75" customHeight="1">
      <c r="A34" s="107" t="s">
        <v>179</v>
      </c>
      <c r="B34" s="108" t="s">
        <v>32</v>
      </c>
      <c r="C34" s="109">
        <v>7</v>
      </c>
      <c r="D34" s="109">
        <v>7</v>
      </c>
      <c r="E34" s="109">
        <v>7</v>
      </c>
      <c r="F34" s="109"/>
      <c r="G34" s="109"/>
      <c r="H34" s="109">
        <v>7</v>
      </c>
      <c r="I34" s="109">
        <v>7</v>
      </c>
      <c r="J34" s="109">
        <v>17</v>
      </c>
      <c r="K34" s="109">
        <v>7</v>
      </c>
      <c r="L34" s="109">
        <v>7</v>
      </c>
      <c r="M34" s="80">
        <f t="shared" si="1"/>
        <v>100</v>
      </c>
      <c r="N34" s="22" t="s">
        <v>307</v>
      </c>
    </row>
    <row r="35" spans="1:15" s="111" customFormat="1" ht="15.75">
      <c r="A35" s="107" t="s">
        <v>180</v>
      </c>
      <c r="B35" s="125" t="s">
        <v>33</v>
      </c>
      <c r="C35" s="126">
        <v>4473</v>
      </c>
      <c r="D35" s="126">
        <v>4489.96</v>
      </c>
      <c r="E35" s="109">
        <v>4473</v>
      </c>
      <c r="F35" s="109"/>
      <c r="G35" s="109"/>
      <c r="H35" s="109">
        <v>5033.1400000000003</v>
      </c>
      <c r="I35" s="109"/>
      <c r="J35" s="109">
        <v>4771</v>
      </c>
      <c r="K35" s="109">
        <v>4741</v>
      </c>
      <c r="L35" s="109">
        <v>5040</v>
      </c>
      <c r="M35" s="80">
        <f>L35/K35*100</f>
        <v>106.30668635309006</v>
      </c>
      <c r="N35" s="110"/>
    </row>
    <row r="36" spans="1:15" s="111" customFormat="1" ht="15.75">
      <c r="A36" s="107" t="s">
        <v>181</v>
      </c>
      <c r="B36" s="125" t="s">
        <v>34</v>
      </c>
      <c r="C36" s="126">
        <v>2.71</v>
      </c>
      <c r="D36" s="126">
        <v>3</v>
      </c>
      <c r="E36" s="109">
        <v>2.71</v>
      </c>
      <c r="F36" s="109"/>
      <c r="G36" s="109"/>
      <c r="H36" s="109">
        <v>3</v>
      </c>
      <c r="I36" s="109">
        <v>2.71</v>
      </c>
      <c r="J36" s="109">
        <v>2.41</v>
      </c>
      <c r="K36" s="109">
        <v>2.71</v>
      </c>
      <c r="L36" s="109">
        <v>2.71</v>
      </c>
      <c r="M36" s="80">
        <f t="shared" si="1"/>
        <v>100</v>
      </c>
      <c r="N36" s="22" t="s">
        <v>35</v>
      </c>
    </row>
    <row r="37" spans="1:15" s="111" customFormat="1" ht="15.75">
      <c r="A37" s="107" t="s">
        <v>182</v>
      </c>
      <c r="B37" s="108" t="s">
        <v>36</v>
      </c>
      <c r="C37" s="109">
        <v>13949.29</v>
      </c>
      <c r="D37" s="109">
        <v>11900</v>
      </c>
      <c r="E37" s="109">
        <f>E33/E34/12*1000</f>
        <v>14168.809523809523</v>
      </c>
      <c r="F37" s="109"/>
      <c r="G37" s="109"/>
      <c r="H37" s="109">
        <f>H33/H34/12*1000</f>
        <v>20397.61904761905</v>
      </c>
      <c r="I37" s="109">
        <f>I33/I34/14*1000</f>
        <v>14689.230171428573</v>
      </c>
      <c r="J37" s="109">
        <f>J33/J34/6*1000</f>
        <v>13939.509803921566</v>
      </c>
      <c r="K37" s="109">
        <f>K33/K34/8*1000</f>
        <v>14302.648800000003</v>
      </c>
      <c r="L37" s="109">
        <f>L33/L34/6*1000</f>
        <v>15204.671999999997</v>
      </c>
      <c r="M37" s="80">
        <f t="shared" si="1"/>
        <v>103.67300193248082</v>
      </c>
      <c r="N37" s="110"/>
    </row>
    <row r="38" spans="1:15" s="81" customFormat="1" ht="15.75">
      <c r="A38" s="71" t="s">
        <v>29</v>
      </c>
      <c r="B38" s="127" t="s">
        <v>38</v>
      </c>
      <c r="C38" s="17">
        <f t="shared" ref="C38:L38" si="4">C33*C39/100</f>
        <v>57.053839999999994</v>
      </c>
      <c r="D38" s="17">
        <f t="shared" si="4"/>
        <v>50.313199999999995</v>
      </c>
      <c r="E38" s="17">
        <f t="shared" si="4"/>
        <v>359.43436000000003</v>
      </c>
      <c r="F38" s="17"/>
      <c r="G38" s="17"/>
      <c r="H38" s="17">
        <f t="shared" si="4"/>
        <v>517.44680000000005</v>
      </c>
      <c r="I38" s="17">
        <f t="shared" si="4"/>
        <v>434.74245615360002</v>
      </c>
      <c r="J38" s="17">
        <f t="shared" si="4"/>
        <v>429.39265999999998</v>
      </c>
      <c r="K38" s="17">
        <f t="shared" si="4"/>
        <v>241.88639650560003</v>
      </c>
      <c r="L38" s="17">
        <f t="shared" si="4"/>
        <v>192.85605964799998</v>
      </c>
      <c r="M38" s="80">
        <f t="shared" si="1"/>
        <v>120.95183558789427</v>
      </c>
      <c r="N38" s="123"/>
    </row>
    <row r="39" spans="1:15" s="81" customFormat="1" ht="78.75" customHeight="1">
      <c r="A39" s="71" t="s">
        <v>31</v>
      </c>
      <c r="B39" s="127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0">
        <f t="shared" si="1"/>
        <v>100</v>
      </c>
      <c r="N39" s="22" t="s">
        <v>308</v>
      </c>
    </row>
    <row r="40" spans="1:15" ht="49.7" hidden="1" customHeight="1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0" t="e">
        <f t="shared" si="1"/>
        <v>#DIV/0!</v>
      </c>
      <c r="N40" s="11"/>
    </row>
    <row r="41" spans="1:15" ht="16.350000000000001" customHeight="1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5">D42+D46+D47</f>
        <v>58.329599999999999</v>
      </c>
      <c r="E41" s="17">
        <f t="shared" si="5"/>
        <v>302.48388</v>
      </c>
      <c r="F41" s="17"/>
      <c r="G41" s="17"/>
      <c r="H41" s="17">
        <f t="shared" si="5"/>
        <v>550.44323999999995</v>
      </c>
      <c r="I41" s="17">
        <f t="shared" si="5"/>
        <v>321.87813623840003</v>
      </c>
      <c r="J41" s="17">
        <f t="shared" si="5"/>
        <v>1238.15408</v>
      </c>
      <c r="K41" s="17">
        <f t="shared" si="5"/>
        <v>177.37612532640006</v>
      </c>
      <c r="L41" s="17">
        <f t="shared" si="5"/>
        <v>144.50201091200003</v>
      </c>
      <c r="M41" s="80">
        <f t="shared" si="1"/>
        <v>106.41166604924534</v>
      </c>
      <c r="N41" s="272" t="s">
        <v>188</v>
      </c>
    </row>
    <row r="42" spans="1:15" s="81" customFormat="1" ht="66.75" customHeight="1">
      <c r="A42" s="71" t="s">
        <v>40</v>
      </c>
      <c r="B42" s="72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69">
        <f>4741*1.125*1.6*1.3*(0.5*1.84+0.5*1.23)*8/1000</f>
        <v>136.23358320000006</v>
      </c>
      <c r="L42" s="124">
        <f>5040*1.125*1.6*1.3*(0.5*1.84+0.5*1.23)*6/1000</f>
        <v>108.61905600000001</v>
      </c>
      <c r="M42" s="80">
        <f t="shared" si="1"/>
        <v>118.89513411673305</v>
      </c>
      <c r="N42" s="130" t="s">
        <v>310</v>
      </c>
      <c r="O42" s="111"/>
    </row>
    <row r="43" spans="1:15" s="111" customFormat="1" ht="63.75" customHeight="1">
      <c r="A43" s="107" t="s">
        <v>183</v>
      </c>
      <c r="B43" s="108" t="s">
        <v>32</v>
      </c>
      <c r="C43" s="109">
        <v>1</v>
      </c>
      <c r="D43" s="109">
        <v>2.5</v>
      </c>
      <c r="E43" s="109">
        <v>1</v>
      </c>
      <c r="F43" s="109"/>
      <c r="G43" s="109"/>
      <c r="H43" s="109">
        <v>1.5</v>
      </c>
      <c r="I43" s="109">
        <v>1</v>
      </c>
      <c r="J43" s="109">
        <v>12.2</v>
      </c>
      <c r="K43" s="109">
        <v>1</v>
      </c>
      <c r="L43" s="109">
        <v>1</v>
      </c>
      <c r="M43" s="80">
        <f t="shared" si="1"/>
        <v>100</v>
      </c>
      <c r="N43" s="22" t="s">
        <v>309</v>
      </c>
    </row>
    <row r="44" spans="1:15" s="9" customFormat="1" ht="17.45" hidden="1" customHeight="1">
      <c r="A44" s="66" t="s">
        <v>261</v>
      </c>
      <c r="B44" s="14" t="s">
        <v>34</v>
      </c>
      <c r="C44" s="126"/>
      <c r="D44" s="126"/>
      <c r="E44" s="109">
        <v>4.5999999999999996</v>
      </c>
      <c r="F44" s="109"/>
      <c r="G44" s="109"/>
      <c r="H44" s="109">
        <v>4.5999999999999996</v>
      </c>
      <c r="I44" s="109">
        <v>4.5999999999999996</v>
      </c>
      <c r="J44" s="109">
        <v>4.6500000000000004</v>
      </c>
      <c r="K44" s="109">
        <v>4.5999999999999996</v>
      </c>
      <c r="L44" s="109">
        <v>4.5999999999999996</v>
      </c>
      <c r="M44" s="80">
        <f t="shared" si="1"/>
        <v>100</v>
      </c>
      <c r="N44" s="16"/>
    </row>
    <row r="45" spans="1:15" s="111" customFormat="1" ht="18.600000000000001" customHeight="1">
      <c r="A45" s="107" t="s">
        <v>184</v>
      </c>
      <c r="B45" s="108" t="s">
        <v>36</v>
      </c>
      <c r="C45" s="109">
        <v>16345</v>
      </c>
      <c r="D45" s="109">
        <v>8960</v>
      </c>
      <c r="E45" s="109">
        <f>E42/E43/12*1000</f>
        <v>17161.666666666664</v>
      </c>
      <c r="F45" s="109"/>
      <c r="G45" s="109"/>
      <c r="H45" s="109">
        <f>H42/H43/12*1000</f>
        <v>20756.666666666668</v>
      </c>
      <c r="I45" s="109">
        <f>I42/I43/14*1000</f>
        <v>17489.474228571431</v>
      </c>
      <c r="J45" s="109">
        <f>J42/J43/12*1000</f>
        <v>6325.4098360655735</v>
      </c>
      <c r="K45" s="109">
        <f>K42/K43/8*1000</f>
        <v>17029.197900000006</v>
      </c>
      <c r="L45" s="109">
        <f>L42/L43/6*1000</f>
        <v>18103.175999999999</v>
      </c>
      <c r="M45" s="80">
        <f t="shared" si="1"/>
        <v>101.91011495719977</v>
      </c>
      <c r="N45" s="131"/>
    </row>
    <row r="46" spans="1:15" s="81" customFormat="1" ht="19.350000000000001" customHeight="1">
      <c r="A46" s="71" t="s">
        <v>42</v>
      </c>
      <c r="B46" s="127" t="s">
        <v>38</v>
      </c>
      <c r="C46" s="17">
        <f t="shared" ref="C46:L46" si="6">C42*C39/100</f>
        <v>9.8723799999999997</v>
      </c>
      <c r="D46" s="17">
        <f t="shared" si="6"/>
        <v>13.529599999999999</v>
      </c>
      <c r="E46" s="17">
        <f t="shared" si="6"/>
        <v>62.19388</v>
      </c>
      <c r="F46" s="17"/>
      <c r="G46" s="17"/>
      <c r="H46" s="17">
        <f t="shared" si="6"/>
        <v>112.83324</v>
      </c>
      <c r="I46" s="17">
        <f t="shared" si="6"/>
        <v>73.945497038400021</v>
      </c>
      <c r="J46" s="17">
        <f t="shared" si="6"/>
        <v>279.66408000000001</v>
      </c>
      <c r="K46" s="17">
        <f t="shared" si="6"/>
        <v>41.142542126400009</v>
      </c>
      <c r="L46" s="17">
        <f t="shared" si="6"/>
        <v>32.802954912000004</v>
      </c>
      <c r="M46" s="80">
        <f t="shared" si="1"/>
        <v>118.89513411673308</v>
      </c>
      <c r="N46" s="105"/>
    </row>
    <row r="47" spans="1:15" s="81" customFormat="1" ht="19.350000000000001" customHeight="1">
      <c r="A47" s="71" t="s">
        <v>45</v>
      </c>
      <c r="B47" s="127" t="s">
        <v>46</v>
      </c>
      <c r="C47" s="132">
        <v>9.57</v>
      </c>
      <c r="D47" s="132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0">
        <f t="shared" si="1"/>
        <v>8.9665211062590977</v>
      </c>
      <c r="N47" s="133" t="s">
        <v>311</v>
      </c>
    </row>
    <row r="48" spans="1:15" ht="19.350000000000001" hidden="1" customHeight="1">
      <c r="A48" s="65" t="s">
        <v>47</v>
      </c>
      <c r="B48" s="15" t="s">
        <v>48</v>
      </c>
      <c r="C48" s="132"/>
      <c r="D48" s="132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0" t="e">
        <f t="shared" si="1"/>
        <v>#DIV/0!</v>
      </c>
      <c r="N48" s="2"/>
    </row>
    <row r="49" spans="1:17" ht="52.7" hidden="1" customHeight="1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0" t="e">
        <f t="shared" si="1"/>
        <v>#DIV/0!</v>
      </c>
      <c r="N49" s="2"/>
    </row>
    <row r="50" spans="1:17" s="19" customFormat="1" ht="21" customHeight="1">
      <c r="A50" s="67" t="s">
        <v>51</v>
      </c>
      <c r="B50" s="18" t="s">
        <v>52</v>
      </c>
      <c r="C50" s="121">
        <f>C51+C56+C57+C61</f>
        <v>87.839999999999989</v>
      </c>
      <c r="D50" s="121">
        <f>D51+D56+D57+D61</f>
        <v>57.78</v>
      </c>
      <c r="E50" s="121">
        <f>E51+E56+E57+E61</f>
        <v>494.25070000000005</v>
      </c>
      <c r="F50" s="121"/>
      <c r="G50" s="121"/>
      <c r="H50" s="121">
        <f>H51+H56+H57+H61</f>
        <v>907.10205999999994</v>
      </c>
      <c r="I50" s="121">
        <f>I51+I56+I57+I61</f>
        <v>584.76441092480002</v>
      </c>
      <c r="J50" s="121">
        <f>J51+J56+J57+J61</f>
        <v>2546.6791399999997</v>
      </c>
      <c r="K50" s="121">
        <f>K51+K56+K57+K61</f>
        <v>327.7881084608</v>
      </c>
      <c r="L50" s="121">
        <f>L51+L56+L57+L61</f>
        <v>256.97630246399996</v>
      </c>
      <c r="M50" s="80">
        <f t="shared" si="1"/>
        <v>118.31331972312836</v>
      </c>
      <c r="N50" s="20"/>
    </row>
    <row r="51" spans="1:17" s="81" customFormat="1" ht="31.5">
      <c r="A51" s="71" t="s">
        <v>53</v>
      </c>
      <c r="B51" s="72" t="s">
        <v>54</v>
      </c>
      <c r="C51" s="17">
        <f t="shared" ref="C51:L51" si="7">C52+C53</f>
        <v>12.18</v>
      </c>
      <c r="D51" s="17">
        <f t="shared" si="7"/>
        <v>33.950000000000003</v>
      </c>
      <c r="E51" s="17">
        <f t="shared" si="7"/>
        <v>15.31</v>
      </c>
      <c r="F51" s="17"/>
      <c r="G51" s="17"/>
      <c r="H51" s="17">
        <f t="shared" si="7"/>
        <v>58.81</v>
      </c>
      <c r="I51" s="17">
        <f t="shared" si="7"/>
        <v>5.48</v>
      </c>
      <c r="J51" s="17">
        <f t="shared" si="7"/>
        <v>777.17000000000007</v>
      </c>
      <c r="K51" s="17">
        <f t="shared" si="7"/>
        <v>5.48</v>
      </c>
      <c r="L51" s="17">
        <f t="shared" si="7"/>
        <v>0</v>
      </c>
      <c r="M51" s="80">
        <f t="shared" si="1"/>
        <v>35.793598954931419</v>
      </c>
      <c r="N51" s="123"/>
    </row>
    <row r="52" spans="1:17" s="276" customFormat="1" ht="46.5" customHeight="1">
      <c r="A52" s="277" t="s">
        <v>55</v>
      </c>
      <c r="B52" s="278" t="s">
        <v>56</v>
      </c>
      <c r="C52" s="279">
        <v>12.18</v>
      </c>
      <c r="D52" s="279">
        <v>33.950000000000003</v>
      </c>
      <c r="E52" s="279">
        <v>15.31</v>
      </c>
      <c r="F52" s="279"/>
      <c r="G52" s="279"/>
      <c r="H52" s="279">
        <v>58.81</v>
      </c>
      <c r="I52" s="279">
        <v>5.48</v>
      </c>
      <c r="J52" s="279">
        <v>302.29000000000002</v>
      </c>
      <c r="K52" s="279">
        <v>5.48</v>
      </c>
      <c r="L52" s="279">
        <f>I52-K52</f>
        <v>0</v>
      </c>
      <c r="M52" s="280">
        <f t="shared" si="1"/>
        <v>35.793598954931419</v>
      </c>
      <c r="N52" s="281" t="s">
        <v>312</v>
      </c>
    </row>
    <row r="53" spans="1:17" ht="31.5" hidden="1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0" t="e">
        <f t="shared" si="1"/>
        <v>#DIV/0!</v>
      </c>
      <c r="N53" s="13" t="s">
        <v>59</v>
      </c>
    </row>
    <row r="54" spans="1:17" ht="31.5" hidden="1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0" t="e">
        <f t="shared" si="1"/>
        <v>#DIV/0!</v>
      </c>
      <c r="N54" s="2"/>
    </row>
    <row r="55" spans="1:17" ht="31.5" hidden="1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0" t="e">
        <f t="shared" si="1"/>
        <v>#DIV/0!</v>
      </c>
      <c r="N55" s="2"/>
    </row>
    <row r="56" spans="1:17" s="81" customFormat="1" ht="20.45" customHeight="1">
      <c r="A56" s="71" t="s">
        <v>64</v>
      </c>
      <c r="B56" s="72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0"/>
      <c r="N56" s="123"/>
    </row>
    <row r="57" spans="1:17" s="81" customFormat="1" ht="60">
      <c r="A57" s="71" t="s">
        <v>66</v>
      </c>
      <c r="B57" s="72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28">
        <f>4741*1.125*1.6*1.4*(1*1.23+1*1.36)*8/1000</f>
        <v>247.54847040000001</v>
      </c>
      <c r="L57" s="129">
        <f>5040*1.125*1.6*1.4*(1*1.23+1*1.36)*6/1000</f>
        <v>197.37043199999997</v>
      </c>
      <c r="M57" s="80">
        <f t="shared" si="1"/>
        <v>120.95117640342529</v>
      </c>
      <c r="N57" s="130" t="s">
        <v>305</v>
      </c>
      <c r="O57" s="111"/>
    </row>
    <row r="58" spans="1:17" s="111" customFormat="1" ht="39.75" customHeight="1">
      <c r="A58" s="107" t="s">
        <v>68</v>
      </c>
      <c r="B58" s="108" t="s">
        <v>69</v>
      </c>
      <c r="C58" s="109">
        <v>2</v>
      </c>
      <c r="D58" s="109">
        <v>3</v>
      </c>
      <c r="E58" s="109">
        <v>2</v>
      </c>
      <c r="F58" s="109"/>
      <c r="G58" s="109"/>
      <c r="H58" s="109">
        <v>3</v>
      </c>
      <c r="I58" s="109">
        <v>2</v>
      </c>
      <c r="J58" s="109">
        <v>15</v>
      </c>
      <c r="K58" s="109">
        <v>2</v>
      </c>
      <c r="L58" s="109">
        <v>2</v>
      </c>
      <c r="M58" s="80">
        <f t="shared" si="1"/>
        <v>100</v>
      </c>
      <c r="N58" s="22" t="s">
        <v>306</v>
      </c>
    </row>
    <row r="59" spans="1:17" s="111" customFormat="1" ht="15.75">
      <c r="A59" s="107" t="s">
        <v>70</v>
      </c>
      <c r="B59" s="125" t="s">
        <v>34</v>
      </c>
      <c r="C59" s="126">
        <v>3.5</v>
      </c>
      <c r="D59" s="126">
        <v>3</v>
      </c>
      <c r="E59" s="109">
        <v>3.5</v>
      </c>
      <c r="F59" s="109"/>
      <c r="G59" s="109"/>
      <c r="H59" s="109">
        <v>3.3</v>
      </c>
      <c r="I59" s="109">
        <v>3.5</v>
      </c>
      <c r="J59" s="109">
        <v>3.2</v>
      </c>
      <c r="K59" s="109">
        <v>3.5</v>
      </c>
      <c r="L59" s="109">
        <v>3.5</v>
      </c>
      <c r="M59" s="80">
        <f t="shared" si="1"/>
        <v>100</v>
      </c>
      <c r="N59" s="131"/>
    </row>
    <row r="60" spans="1:17" s="111" customFormat="1" ht="15.75">
      <c r="A60" s="107" t="s">
        <v>71</v>
      </c>
      <c r="B60" s="108" t="s">
        <v>36</v>
      </c>
      <c r="C60" s="109">
        <v>14597.5</v>
      </c>
      <c r="D60" s="109">
        <v>3050</v>
      </c>
      <c r="E60" s="109">
        <v>15327.08</v>
      </c>
      <c r="F60" s="109"/>
      <c r="G60" s="109"/>
      <c r="H60" s="109">
        <f>H57/H58/12*1000</f>
        <v>18098.055555555555</v>
      </c>
      <c r="I60" s="109">
        <f>I57/I58/14*1000</f>
        <v>15889.960799999999</v>
      </c>
      <c r="J60" s="109">
        <f>J57/J58/12*1000</f>
        <v>7550.3888888888887</v>
      </c>
      <c r="K60" s="109">
        <f>K57/K58/8*1000</f>
        <v>15471.779400000001</v>
      </c>
      <c r="L60" s="109">
        <f>L57/L58/6*1000</f>
        <v>16447.535999999996</v>
      </c>
      <c r="M60" s="80">
        <f t="shared" si="1"/>
        <v>103.6724594639031</v>
      </c>
      <c r="N60" s="131"/>
    </row>
    <row r="61" spans="1:17" s="81" customFormat="1" ht="15.75">
      <c r="A61" s="134" t="s">
        <v>72</v>
      </c>
      <c r="B61" s="127" t="s">
        <v>38</v>
      </c>
      <c r="C61" s="17">
        <v>17.27</v>
      </c>
      <c r="D61" s="17">
        <v>5.53</v>
      </c>
      <c r="E61" s="17">
        <f t="shared" ref="E61:L61" si="8">E57*E39/100</f>
        <v>111.0907</v>
      </c>
      <c r="F61" s="17"/>
      <c r="G61" s="17"/>
      <c r="H61" s="17">
        <f t="shared" si="8"/>
        <v>196.76205999999999</v>
      </c>
      <c r="I61" s="17">
        <f t="shared" si="8"/>
        <v>134.36550852479999</v>
      </c>
      <c r="J61" s="17">
        <f t="shared" si="8"/>
        <v>410.43913999999995</v>
      </c>
      <c r="K61" s="17">
        <f t="shared" si="8"/>
        <v>74.7596380608</v>
      </c>
      <c r="L61" s="17">
        <f t="shared" si="8"/>
        <v>59.605870463999992</v>
      </c>
      <c r="M61" s="80">
        <f t="shared" si="1"/>
        <v>120.95117640342529</v>
      </c>
      <c r="N61" s="105"/>
    </row>
    <row r="62" spans="1:17" s="19" customFormat="1" ht="34.700000000000003" customHeight="1">
      <c r="A62" s="67" t="s">
        <v>73</v>
      </c>
      <c r="B62" s="3" t="s">
        <v>74</v>
      </c>
      <c r="C62" s="121">
        <f t="shared" ref="C62:L62" si="9">C63+C64+C67+C68+C70+C76+C79</f>
        <v>69.354420000000005</v>
      </c>
      <c r="D62" s="121">
        <f t="shared" si="9"/>
        <v>77.604599999999991</v>
      </c>
      <c r="E62" s="121">
        <f t="shared" si="9"/>
        <v>414.89188000000001</v>
      </c>
      <c r="F62" s="121"/>
      <c r="G62" s="121"/>
      <c r="H62" s="121">
        <f t="shared" si="9"/>
        <v>1869.3824</v>
      </c>
      <c r="I62" s="121">
        <f t="shared" si="9"/>
        <v>567.78305333333333</v>
      </c>
      <c r="J62" s="121">
        <f t="shared" si="9"/>
        <v>2117.6843000000003</v>
      </c>
      <c r="K62" s="121">
        <f t="shared" si="9"/>
        <v>323.73317333333335</v>
      </c>
      <c r="L62" s="121">
        <f t="shared" si="9"/>
        <v>244.04988</v>
      </c>
      <c r="M62" s="80">
        <f t="shared" si="1"/>
        <v>136.85084734204327</v>
      </c>
      <c r="N62" s="20"/>
      <c r="Q62" s="275"/>
    </row>
    <row r="63" spans="1:17" s="81" customFormat="1" ht="31.5">
      <c r="A63" s="71" t="s">
        <v>75</v>
      </c>
      <c r="B63" s="72" t="s">
        <v>76</v>
      </c>
      <c r="C63" s="17">
        <v>0</v>
      </c>
      <c r="D63" s="17">
        <v>0</v>
      </c>
      <c r="E63" s="17">
        <v>0</v>
      </c>
      <c r="F63" s="17"/>
      <c r="G63" s="17"/>
      <c r="H63" s="128">
        <v>0</v>
      </c>
      <c r="I63" s="128">
        <v>0</v>
      </c>
      <c r="J63" s="145"/>
      <c r="K63" s="128">
        <v>0</v>
      </c>
      <c r="L63" s="128">
        <v>0</v>
      </c>
      <c r="M63" s="80"/>
      <c r="N63" s="105"/>
    </row>
    <row r="64" spans="1:17" s="81" customFormat="1" ht="45">
      <c r="A64" s="71" t="s">
        <v>77</v>
      </c>
      <c r="B64" s="72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0">
        <f t="shared" si="1"/>
        <v>159.31359473637414</v>
      </c>
      <c r="N64" s="22" t="s">
        <v>313</v>
      </c>
      <c r="O64" s="81">
        <v>358.36</v>
      </c>
    </row>
    <row r="65" spans="1:15" s="111" customFormat="1" ht="25.5" customHeight="1">
      <c r="A65" s="107" t="s">
        <v>79</v>
      </c>
      <c r="B65" s="108" t="s">
        <v>80</v>
      </c>
      <c r="C65" s="109">
        <v>0.31</v>
      </c>
      <c r="D65" s="109">
        <v>0.31</v>
      </c>
      <c r="E65" s="109">
        <v>0.54</v>
      </c>
      <c r="F65" s="109"/>
      <c r="G65" s="109"/>
      <c r="H65" s="109">
        <v>3</v>
      </c>
      <c r="I65" s="109">
        <v>0.73</v>
      </c>
      <c r="J65" s="109">
        <v>7</v>
      </c>
      <c r="K65" s="109">
        <v>0.73</v>
      </c>
      <c r="L65" s="109">
        <v>0.73</v>
      </c>
      <c r="M65" s="80">
        <f t="shared" si="1"/>
        <v>135.18518518518516</v>
      </c>
      <c r="N65" s="23"/>
    </row>
    <row r="66" spans="1:15" s="111" customFormat="1" ht="29.25" customHeight="1">
      <c r="A66" s="107" t="s">
        <v>185</v>
      </c>
      <c r="B66" s="108" t="s">
        <v>36</v>
      </c>
      <c r="C66" s="109">
        <f>C64/C65/12*1000</f>
        <v>9599.4623655913983</v>
      </c>
      <c r="D66" s="109">
        <v>9550</v>
      </c>
      <c r="E66" s="109">
        <f>E64/E65/12*1000</f>
        <v>34712.962962962964</v>
      </c>
      <c r="F66" s="109"/>
      <c r="G66" s="109"/>
      <c r="H66" s="109">
        <f>H64/H65/12*1000</f>
        <v>36838.888888888891</v>
      </c>
      <c r="I66" s="109">
        <f>I64/I65/14*1000</f>
        <v>35064.579256360084</v>
      </c>
      <c r="J66" s="109">
        <f>J64/J65/12*1000</f>
        <v>12722.261904761906</v>
      </c>
      <c r="K66" s="109">
        <f>K64/K65/8*1000</f>
        <v>35064.579256360084</v>
      </c>
      <c r="L66" s="109">
        <f>L64/L65/6*1000</f>
        <v>35064.579256360084</v>
      </c>
      <c r="M66" s="80">
        <f t="shared" si="1"/>
        <v>101.01292503832727</v>
      </c>
      <c r="N66" s="23"/>
    </row>
    <row r="67" spans="1:15" s="81" customFormat="1" ht="15.75">
      <c r="A67" s="71" t="s">
        <v>81</v>
      </c>
      <c r="B67" s="127" t="s">
        <v>38</v>
      </c>
      <c r="C67" s="17">
        <f t="shared" ref="C67:L67" si="10">C64*C39/100</f>
        <v>10.784420000000001</v>
      </c>
      <c r="D67" s="17">
        <f t="shared" si="10"/>
        <v>17.304599999999997</v>
      </c>
      <c r="E67" s="17">
        <f t="shared" si="10"/>
        <v>67.931880000000007</v>
      </c>
      <c r="F67" s="17"/>
      <c r="G67" s="17"/>
      <c r="H67" s="17">
        <f t="shared" si="10"/>
        <v>400.51239999999996</v>
      </c>
      <c r="I67" s="17">
        <f t="shared" si="10"/>
        <v>108.22471999999999</v>
      </c>
      <c r="J67" s="17">
        <f t="shared" si="10"/>
        <v>322.73834000000005</v>
      </c>
      <c r="K67" s="17">
        <f t="shared" si="10"/>
        <v>61.842697142857148</v>
      </c>
      <c r="L67" s="17">
        <f t="shared" si="10"/>
        <v>46.382022857142864</v>
      </c>
      <c r="M67" s="80">
        <f t="shared" si="1"/>
        <v>159.31359473637411</v>
      </c>
      <c r="N67" s="105"/>
    </row>
    <row r="68" spans="1:15" s="81" customFormat="1" ht="15.75" hidden="1">
      <c r="A68" s="71" t="s">
        <v>82</v>
      </c>
      <c r="B68" s="72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0"/>
      <c r="N68" s="105"/>
    </row>
    <row r="69" spans="1:15" s="81" customFormat="1" ht="30" hidden="1" customHeight="1">
      <c r="A69" s="107" t="s">
        <v>84</v>
      </c>
      <c r="B69" s="108" t="s">
        <v>80</v>
      </c>
      <c r="C69" s="109">
        <v>0</v>
      </c>
      <c r="D69" s="109">
        <v>0</v>
      </c>
      <c r="E69" s="109">
        <v>0</v>
      </c>
      <c r="F69" s="109"/>
      <c r="G69" s="109"/>
      <c r="H69" s="109">
        <v>0</v>
      </c>
      <c r="I69" s="109">
        <v>0</v>
      </c>
      <c r="J69" s="109">
        <v>1.6</v>
      </c>
      <c r="K69" s="109">
        <v>0</v>
      </c>
      <c r="L69" s="109">
        <v>0</v>
      </c>
      <c r="M69" s="80"/>
      <c r="N69" s="12"/>
    </row>
    <row r="70" spans="1:15" s="81" customFormat="1" ht="15.75" hidden="1">
      <c r="A70" s="71" t="s">
        <v>85</v>
      </c>
      <c r="B70" s="127" t="s">
        <v>38</v>
      </c>
      <c r="C70" s="132">
        <v>0</v>
      </c>
      <c r="D70" s="132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0"/>
      <c r="N70" s="123"/>
    </row>
    <row r="71" spans="1:15" ht="31.5" hidden="1">
      <c r="A71" s="65" t="s">
        <v>86</v>
      </c>
      <c r="B71" s="15" t="s">
        <v>87</v>
      </c>
      <c r="C71" s="132"/>
      <c r="D71" s="132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0" t="e">
        <f t="shared" si="1"/>
        <v>#DIV/0!</v>
      </c>
      <c r="N71" s="11"/>
    </row>
    <row r="72" spans="1:15" ht="15.75" hidden="1">
      <c r="A72" s="65" t="s">
        <v>88</v>
      </c>
      <c r="B72" s="15" t="s">
        <v>89</v>
      </c>
      <c r="C72" s="132"/>
      <c r="D72" s="132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0" t="e">
        <f t="shared" si="1"/>
        <v>#DIV/0!</v>
      </c>
      <c r="N72" s="11"/>
    </row>
    <row r="73" spans="1:15" ht="21.6" hidden="1" customHeight="1">
      <c r="A73" s="65" t="s">
        <v>90</v>
      </c>
      <c r="B73" s="15" t="s">
        <v>91</v>
      </c>
      <c r="C73" s="132"/>
      <c r="D73" s="132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0" t="e">
        <f t="shared" si="1"/>
        <v>#DIV/0!</v>
      </c>
      <c r="N73" s="11"/>
    </row>
    <row r="74" spans="1:15" ht="19.350000000000001" hidden="1" customHeight="1">
      <c r="A74" s="65" t="s">
        <v>92</v>
      </c>
      <c r="B74" s="15" t="s">
        <v>93</v>
      </c>
      <c r="C74" s="132"/>
      <c r="D74" s="132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0" t="e">
        <f t="shared" si="1"/>
        <v>#DIV/0!</v>
      </c>
      <c r="N74" s="11"/>
    </row>
    <row r="75" spans="1:15" ht="32.450000000000003" hidden="1" customHeight="1">
      <c r="A75" s="65" t="s">
        <v>94</v>
      </c>
      <c r="B75" s="15" t="s">
        <v>95</v>
      </c>
      <c r="C75" s="132"/>
      <c r="D75" s="132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0" t="e">
        <f t="shared" si="1"/>
        <v>#DIV/0!</v>
      </c>
      <c r="N75" s="11"/>
    </row>
    <row r="76" spans="1:15" ht="32.450000000000003" customHeight="1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0">
        <f>I76/E76*100</f>
        <v>83.114827576547043</v>
      </c>
      <c r="N76" s="22" t="s">
        <v>434</v>
      </c>
      <c r="O76">
        <f>84.77/12*14</f>
        <v>98.898333333333326</v>
      </c>
    </row>
    <row r="77" spans="1:15" ht="32.450000000000003" hidden="1" customHeight="1">
      <c r="A77" s="65" t="s">
        <v>97</v>
      </c>
      <c r="B77" s="15" t="s">
        <v>98</v>
      </c>
      <c r="C77" s="132"/>
      <c r="D77" s="132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0" t="e">
        <f t="shared" si="1"/>
        <v>#DIV/0!</v>
      </c>
      <c r="N77" s="11"/>
    </row>
    <row r="78" spans="1:15" ht="32.450000000000003" hidden="1" customHeight="1">
      <c r="A78" s="65" t="s">
        <v>99</v>
      </c>
      <c r="B78" s="15" t="s">
        <v>100</v>
      </c>
      <c r="C78" s="132"/>
      <c r="D78" s="132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0" t="e">
        <f t="shared" ref="M78:M104" si="11">I78/E78*100</f>
        <v>#DIV/0!</v>
      </c>
      <c r="N78" s="11"/>
    </row>
    <row r="79" spans="1:15" s="81" customFormat="1" ht="49.5" customHeight="1">
      <c r="A79" s="71" t="s">
        <v>88</v>
      </c>
      <c r="B79" s="72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0">
        <f t="shared" si="11"/>
        <v>75.907590759075902</v>
      </c>
      <c r="N79" s="22"/>
      <c r="O79" s="81">
        <f>2.98/12*14</f>
        <v>3.4766666666666666</v>
      </c>
    </row>
    <row r="80" spans="1:15" ht="31.5" hidden="1">
      <c r="A80" s="67" t="s">
        <v>102</v>
      </c>
      <c r="B80" s="3" t="s">
        <v>103</v>
      </c>
      <c r="C80" s="121"/>
      <c r="D80" s="121"/>
      <c r="E80" s="121"/>
      <c r="F80" s="121"/>
      <c r="G80" s="121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0" t="e">
        <f t="shared" si="11"/>
        <v>#DIV/0!</v>
      </c>
      <c r="N80" s="11"/>
    </row>
    <row r="81" spans="1:15" ht="31.5" hidden="1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0" t="e">
        <f t="shared" si="11"/>
        <v>#DIV/0!</v>
      </c>
      <c r="N81" s="11"/>
    </row>
    <row r="82" spans="1:15" ht="15.75" hidden="1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0" t="e">
        <f t="shared" si="11"/>
        <v>#DIV/0!</v>
      </c>
      <c r="N82" s="11"/>
    </row>
    <row r="83" spans="1:15" s="9" customFormat="1" ht="15.75" hidden="1">
      <c r="A83" s="66" t="s">
        <v>108</v>
      </c>
      <c r="B83" s="7" t="s">
        <v>80</v>
      </c>
      <c r="C83" s="109"/>
      <c r="D83" s="109"/>
      <c r="E83" s="109"/>
      <c r="F83" s="109"/>
      <c r="G83" s="109"/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80" t="e">
        <f t="shared" si="11"/>
        <v>#DIV/0!</v>
      </c>
      <c r="N83" s="10"/>
    </row>
    <row r="84" spans="1:15" ht="15.75" hidden="1">
      <c r="A84" s="65" t="s">
        <v>109</v>
      </c>
      <c r="B84" s="15" t="s">
        <v>38</v>
      </c>
      <c r="C84" s="132"/>
      <c r="D84" s="132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0" t="e">
        <f t="shared" si="11"/>
        <v>#DIV/0!</v>
      </c>
      <c r="N84" s="11"/>
    </row>
    <row r="85" spans="1:15" ht="30.6" hidden="1" customHeight="1">
      <c r="A85" s="65" t="s">
        <v>110</v>
      </c>
      <c r="B85" s="15" t="s">
        <v>111</v>
      </c>
      <c r="C85" s="132"/>
      <c r="D85" s="132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0" t="e">
        <f t="shared" si="11"/>
        <v>#DIV/0!</v>
      </c>
      <c r="N85" s="11"/>
    </row>
    <row r="86" spans="1:15" s="148" customFormat="1" ht="22.35" customHeight="1">
      <c r="A86" s="146" t="s">
        <v>102</v>
      </c>
      <c r="B86" s="24" t="s">
        <v>113</v>
      </c>
      <c r="C86" s="121">
        <v>0</v>
      </c>
      <c r="D86" s="121">
        <v>0</v>
      </c>
      <c r="E86" s="121">
        <v>0</v>
      </c>
      <c r="F86" s="121"/>
      <c r="G86" s="121"/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80"/>
      <c r="N86" s="147"/>
    </row>
    <row r="87" spans="1:15" s="19" customFormat="1" ht="36.6" customHeight="1">
      <c r="A87" s="67" t="s">
        <v>112</v>
      </c>
      <c r="B87" s="3" t="s">
        <v>114</v>
      </c>
      <c r="C87" s="121">
        <f>C88</f>
        <v>0.57999999999999996</v>
      </c>
      <c r="D87" s="121">
        <f>D88</f>
        <v>0.57999999999999996</v>
      </c>
      <c r="E87" s="121">
        <f>E88</f>
        <v>3.46</v>
      </c>
      <c r="F87" s="121"/>
      <c r="G87" s="121"/>
      <c r="H87" s="121">
        <f>H88+H89+H90</f>
        <v>43.56</v>
      </c>
      <c r="I87" s="121">
        <f>I88+I89+I90</f>
        <v>0.86599999999999999</v>
      </c>
      <c r="J87" s="121">
        <f>J88+J89+J90</f>
        <v>335.91</v>
      </c>
      <c r="K87" s="121">
        <f>K88+K89+K90</f>
        <v>0</v>
      </c>
      <c r="L87" s="121">
        <f>L88+L89+L90</f>
        <v>0.86599999999999999</v>
      </c>
      <c r="M87" s="80">
        <f t="shared" si="11"/>
        <v>25.028901734104046</v>
      </c>
      <c r="N87" s="20"/>
    </row>
    <row r="88" spans="1:15" ht="60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0">
        <f t="shared" si="11"/>
        <v>25.028901734104046</v>
      </c>
      <c r="N88" s="13" t="s">
        <v>438</v>
      </c>
      <c r="O88">
        <f>3.46/12*14</f>
        <v>4.0366666666666671</v>
      </c>
    </row>
    <row r="89" spans="1:15" ht="15.75" hidden="1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0" t="e">
        <f t="shared" si="11"/>
        <v>#DIV/0!</v>
      </c>
      <c r="N89" s="2"/>
    </row>
    <row r="90" spans="1:15" ht="15.75" hidden="1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0" t="e">
        <f t="shared" si="11"/>
        <v>#DIV/0!</v>
      </c>
      <c r="N90" s="2"/>
    </row>
    <row r="91" spans="1:15" s="19" customFormat="1" ht="34.700000000000003" customHeight="1">
      <c r="A91" s="67" t="s">
        <v>120</v>
      </c>
      <c r="B91" s="3" t="s">
        <v>121</v>
      </c>
      <c r="C91" s="121">
        <f t="shared" ref="C91:L91" si="12">C92+C93+C94</f>
        <v>0.37</v>
      </c>
      <c r="D91" s="121">
        <f t="shared" si="12"/>
        <v>0.37</v>
      </c>
      <c r="E91" s="121">
        <f t="shared" si="12"/>
        <v>2.19</v>
      </c>
      <c r="F91" s="121"/>
      <c r="G91" s="121"/>
      <c r="H91" s="121">
        <f t="shared" si="12"/>
        <v>2.8</v>
      </c>
      <c r="I91" s="121">
        <f t="shared" si="12"/>
        <v>4.37</v>
      </c>
      <c r="J91" s="121">
        <f t="shared" si="12"/>
        <v>7.86</v>
      </c>
      <c r="K91" s="121">
        <f t="shared" si="12"/>
        <v>2.4971428571428573</v>
      </c>
      <c r="L91" s="121">
        <f t="shared" si="12"/>
        <v>1.872857142857143</v>
      </c>
      <c r="M91" s="80">
        <f t="shared" si="11"/>
        <v>199.54337899543378</v>
      </c>
      <c r="N91" s="20"/>
    </row>
    <row r="92" spans="1:15" ht="15.6" customHeight="1">
      <c r="A92" s="65" t="s">
        <v>122</v>
      </c>
      <c r="B92" s="69" t="s">
        <v>142</v>
      </c>
      <c r="C92" s="170">
        <v>0</v>
      </c>
      <c r="D92" s="170">
        <v>0</v>
      </c>
      <c r="E92" s="170">
        <v>0</v>
      </c>
      <c r="F92" s="170"/>
      <c r="G92" s="170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0"/>
      <c r="N92" s="2"/>
    </row>
    <row r="93" spans="1:15" ht="51.75" customHeight="1">
      <c r="A93" s="65" t="s">
        <v>123</v>
      </c>
      <c r="B93" s="69" t="s">
        <v>124</v>
      </c>
      <c r="C93" s="170">
        <v>0.37</v>
      </c>
      <c r="D93" s="170">
        <v>0.37</v>
      </c>
      <c r="E93" s="170">
        <v>2.19</v>
      </c>
      <c r="F93" s="170"/>
      <c r="G93" s="170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0">
        <f t="shared" si="11"/>
        <v>199.54337899543378</v>
      </c>
      <c r="N93" s="273" t="s">
        <v>356</v>
      </c>
      <c r="O93">
        <v>4.37</v>
      </c>
    </row>
    <row r="94" spans="1:15" ht="18.600000000000001" customHeight="1">
      <c r="A94" s="65" t="s">
        <v>125</v>
      </c>
      <c r="B94" s="70" t="s">
        <v>126</v>
      </c>
      <c r="C94" s="170">
        <v>0</v>
      </c>
      <c r="D94" s="170">
        <v>0</v>
      </c>
      <c r="E94" s="170">
        <v>0</v>
      </c>
      <c r="F94" s="170"/>
      <c r="G94" s="170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0"/>
      <c r="N94" s="2"/>
    </row>
    <row r="95" spans="1:15" s="19" customFormat="1" ht="15.75">
      <c r="A95" s="67" t="s">
        <v>189</v>
      </c>
      <c r="B95" s="3" t="s">
        <v>127</v>
      </c>
      <c r="C95" s="121">
        <f t="shared" ref="C95:L95" si="13">C13+C50+C62+C86+C87+C91</f>
        <v>478.89041099999997</v>
      </c>
      <c r="D95" s="121">
        <f t="shared" si="13"/>
        <v>505.17512799999992</v>
      </c>
      <c r="E95" s="121">
        <f t="shared" si="13"/>
        <v>2907.47082</v>
      </c>
      <c r="F95" s="121"/>
      <c r="G95" s="121"/>
      <c r="H95" s="121">
        <f t="shared" si="13"/>
        <v>6567.545306940001</v>
      </c>
      <c r="I95" s="121">
        <f t="shared" si="13"/>
        <v>3542.4494223001338</v>
      </c>
      <c r="J95" s="121">
        <f t="shared" ca="1" si="13"/>
        <v>5203.4642199999998</v>
      </c>
      <c r="K95" s="121">
        <f t="shared" si="13"/>
        <v>1978.4896232832764</v>
      </c>
      <c r="L95" s="121">
        <f t="shared" si="13"/>
        <v>1563.959799016857</v>
      </c>
      <c r="M95" s="80"/>
      <c r="N95" s="20"/>
    </row>
    <row r="96" spans="1:15" s="19" customFormat="1" ht="15.75">
      <c r="A96" s="67"/>
      <c r="B96" s="5" t="s">
        <v>128</v>
      </c>
      <c r="C96" s="17">
        <f t="shared" ref="C96:L96" si="14">C97/C95*100</f>
        <v>1.000228839411863</v>
      </c>
      <c r="D96" s="17">
        <f t="shared" si="14"/>
        <v>0</v>
      </c>
      <c r="E96" s="17">
        <f t="shared" si="14"/>
        <v>0.99915018235677433</v>
      </c>
      <c r="F96" s="17"/>
      <c r="G96" s="17"/>
      <c r="H96" s="17">
        <f t="shared" si="14"/>
        <v>0.14997993222203418</v>
      </c>
      <c r="I96" s="17">
        <f t="shared" si="14"/>
        <v>1</v>
      </c>
      <c r="J96" s="17">
        <f t="shared" ca="1" si="14"/>
        <v>1.26206899091094E-2</v>
      </c>
      <c r="K96" s="17">
        <f t="shared" si="14"/>
        <v>1</v>
      </c>
      <c r="L96" s="17">
        <f t="shared" si="14"/>
        <v>1</v>
      </c>
      <c r="M96" s="80"/>
      <c r="N96" s="20"/>
    </row>
    <row r="97" spans="1:15" s="19" customFormat="1" ht="15.75">
      <c r="A97" s="67" t="s">
        <v>190</v>
      </c>
      <c r="B97" s="3" t="s">
        <v>129</v>
      </c>
      <c r="C97" s="121">
        <f t="shared" ref="C97:L97" si="15">C98+C99+C100+C101+C102</f>
        <v>4.79</v>
      </c>
      <c r="D97" s="121">
        <f t="shared" si="15"/>
        <v>0</v>
      </c>
      <c r="E97" s="121">
        <f t="shared" si="15"/>
        <v>29.05</v>
      </c>
      <c r="F97" s="121"/>
      <c r="G97" s="121"/>
      <c r="H97" s="121">
        <f t="shared" si="15"/>
        <v>9.85</v>
      </c>
      <c r="I97" s="121">
        <f t="shared" si="15"/>
        <v>35.424494223001339</v>
      </c>
      <c r="J97" s="121">
        <f t="shared" ca="1" si="15"/>
        <v>1.3199999999999998</v>
      </c>
      <c r="K97" s="121">
        <f t="shared" si="15"/>
        <v>19.784896232832764</v>
      </c>
      <c r="L97" s="121">
        <f t="shared" si="15"/>
        <v>15.63959799016857</v>
      </c>
      <c r="M97" s="80"/>
      <c r="N97" s="20"/>
    </row>
    <row r="98" spans="1:15" ht="78" customHeight="1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0"/>
      <c r="N98" s="2"/>
    </row>
    <row r="99" spans="1:15" ht="47.25">
      <c r="A99" s="65" t="s">
        <v>192</v>
      </c>
      <c r="B99" s="70" t="s">
        <v>209</v>
      </c>
      <c r="C99" s="170">
        <v>0</v>
      </c>
      <c r="D99" s="170">
        <v>0</v>
      </c>
      <c r="E99" s="170">
        <v>0</v>
      </c>
      <c r="F99" s="170"/>
      <c r="G99" s="170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0"/>
      <c r="N99" s="2"/>
    </row>
    <row r="100" spans="1:15" ht="47.25">
      <c r="A100" s="68" t="s">
        <v>193</v>
      </c>
      <c r="B100" s="70" t="s">
        <v>211</v>
      </c>
      <c r="C100" s="170">
        <v>0</v>
      </c>
      <c r="D100" s="170">
        <v>0</v>
      </c>
      <c r="E100" s="170">
        <v>0</v>
      </c>
      <c r="F100" s="170"/>
      <c r="G100" s="170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0"/>
      <c r="N100" s="2"/>
    </row>
    <row r="101" spans="1:15" ht="15.75">
      <c r="A101" s="65" t="s">
        <v>194</v>
      </c>
      <c r="B101" s="70" t="s">
        <v>210</v>
      </c>
      <c r="C101" s="170">
        <v>0</v>
      </c>
      <c r="D101" s="170">
        <v>0</v>
      </c>
      <c r="E101" s="170">
        <v>0</v>
      </c>
      <c r="F101" s="170"/>
      <c r="G101" s="170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0"/>
      <c r="N101" s="2"/>
    </row>
    <row r="102" spans="1:15" ht="15.75">
      <c r="A102" s="65" t="s">
        <v>195</v>
      </c>
      <c r="B102" s="70" t="s">
        <v>134</v>
      </c>
      <c r="C102" s="170">
        <v>4.79</v>
      </c>
      <c r="D102" s="170">
        <v>0</v>
      </c>
      <c r="E102" s="170">
        <v>29.05</v>
      </c>
      <c r="F102" s="170"/>
      <c r="G102" s="170"/>
      <c r="H102" s="17">
        <v>9.85</v>
      </c>
      <c r="I102" s="17">
        <f>I95*1%</f>
        <v>35.424494223001339</v>
      </c>
      <c r="J102" s="17">
        <f ca="1">J95*1%</f>
        <v>36.011460712001337</v>
      </c>
      <c r="K102" s="17">
        <f>K95*1%</f>
        <v>19.784896232832764</v>
      </c>
      <c r="L102" s="17">
        <f>L95*1%</f>
        <v>15.63959799016857</v>
      </c>
      <c r="M102" s="80"/>
      <c r="N102" s="2"/>
    </row>
    <row r="103" spans="1:15" s="19" customFormat="1" ht="15.75">
      <c r="A103" s="67" t="s">
        <v>196</v>
      </c>
      <c r="B103" s="3" t="s">
        <v>135</v>
      </c>
      <c r="C103" s="121">
        <f t="shared" ref="C103:J103" si="16">C95+C97</f>
        <v>483.68041099999999</v>
      </c>
      <c r="D103" s="121">
        <v>2510.36</v>
      </c>
      <c r="E103" s="121">
        <f t="shared" si="16"/>
        <v>2936.5208200000002</v>
      </c>
      <c r="F103" s="121"/>
      <c r="G103" s="121"/>
      <c r="H103" s="121">
        <f t="shared" si="16"/>
        <v>6577.3953069400013</v>
      </c>
      <c r="I103" s="121">
        <f t="shared" si="16"/>
        <v>3577.873916523135</v>
      </c>
      <c r="J103" s="121">
        <f t="shared" ca="1" si="16"/>
        <v>9509.39653</v>
      </c>
      <c r="K103" s="121">
        <f>K95+K102</f>
        <v>1998.2745195161092</v>
      </c>
      <c r="L103" s="121">
        <f>L95+L102</f>
        <v>1579.5993970070256</v>
      </c>
      <c r="M103" s="80"/>
      <c r="N103" s="20"/>
    </row>
    <row r="104" spans="1:15" s="19" customFormat="1" ht="29.25" customHeight="1">
      <c r="A104" s="67" t="s">
        <v>197</v>
      </c>
      <c r="B104" s="24" t="s">
        <v>203</v>
      </c>
      <c r="C104" s="121">
        <v>2.27</v>
      </c>
      <c r="D104" s="121">
        <v>2.27</v>
      </c>
      <c r="E104" s="121">
        <v>13.643000000000001</v>
      </c>
      <c r="F104" s="121"/>
      <c r="G104" s="121"/>
      <c r="H104" s="121">
        <v>15.907999999999999</v>
      </c>
      <c r="I104" s="121">
        <f>K104+L104</f>
        <v>15.908000000000001</v>
      </c>
      <c r="J104" s="121">
        <v>65.28</v>
      </c>
      <c r="K104" s="121">
        <f>O104/14*8</f>
        <v>9.0902857142857147</v>
      </c>
      <c r="L104" s="121">
        <f>O104/14*6</f>
        <v>6.8177142857142865</v>
      </c>
      <c r="M104" s="80">
        <f t="shared" si="11"/>
        <v>116.6019203987393</v>
      </c>
      <c r="N104" s="26"/>
      <c r="O104" s="19">
        <v>15.907999999999999</v>
      </c>
    </row>
    <row r="105" spans="1:15" s="19" customFormat="1" ht="21" customHeight="1">
      <c r="A105" s="65" t="s">
        <v>204</v>
      </c>
      <c r="B105" s="72" t="s">
        <v>207</v>
      </c>
      <c r="C105" s="121">
        <v>0.16700000000000001</v>
      </c>
      <c r="D105" s="121">
        <v>0.16700000000000001</v>
      </c>
      <c r="E105" s="121">
        <v>1.17</v>
      </c>
      <c r="F105" s="121"/>
      <c r="G105" s="121"/>
      <c r="H105" s="121">
        <v>1.462</v>
      </c>
      <c r="I105" s="121">
        <f>K105+L105</f>
        <v>1.462</v>
      </c>
      <c r="J105" s="121"/>
      <c r="K105" s="121">
        <f>H105/14*8</f>
        <v>0.83542857142857141</v>
      </c>
      <c r="L105" s="121">
        <f>H105/14*6</f>
        <v>0.62657142857142856</v>
      </c>
      <c r="M105" s="80"/>
      <c r="N105" s="26"/>
    </row>
    <row r="106" spans="1:15" s="19" customFormat="1" ht="21" customHeight="1">
      <c r="A106" s="65" t="s">
        <v>205</v>
      </c>
      <c r="B106" s="72" t="s">
        <v>206</v>
      </c>
      <c r="C106" s="121">
        <v>2.1030000000000002</v>
      </c>
      <c r="D106" s="121">
        <v>2.1030000000000002</v>
      </c>
      <c r="E106" s="121">
        <v>12.473000000000001</v>
      </c>
      <c r="F106" s="121"/>
      <c r="G106" s="121"/>
      <c r="H106" s="121">
        <v>14.446</v>
      </c>
      <c r="I106" s="121">
        <f>K106+L106</f>
        <v>14.446</v>
      </c>
      <c r="J106" s="121"/>
      <c r="K106" s="121">
        <f>H106/14*8</f>
        <v>8.2548571428571424</v>
      </c>
      <c r="L106" s="121">
        <f>H106/14*6</f>
        <v>6.1911428571428573</v>
      </c>
      <c r="M106" s="80"/>
      <c r="N106" s="26"/>
    </row>
    <row r="107" spans="1:15" ht="15.75">
      <c r="A107" s="67" t="s">
        <v>198</v>
      </c>
      <c r="B107" s="24" t="s">
        <v>137</v>
      </c>
      <c r="C107" s="121"/>
      <c r="D107" s="121"/>
      <c r="E107" s="121">
        <f t="shared" ref="E107:L107" si="17">E103/E104</f>
        <v>215.24010994649271</v>
      </c>
      <c r="F107" s="121"/>
      <c r="G107" s="121"/>
      <c r="H107" s="121">
        <f t="shared" si="17"/>
        <v>413.46462829645469</v>
      </c>
      <c r="I107" s="121">
        <f t="shared" si="17"/>
        <v>224.91035432003613</v>
      </c>
      <c r="J107" s="121">
        <f t="shared" ca="1" si="17"/>
        <v>145.6709027267157</v>
      </c>
      <c r="K107" s="121">
        <f>K103/K104</f>
        <v>219.82527087963231</v>
      </c>
      <c r="L107" s="121">
        <f t="shared" si="17"/>
        <v>231.69046557390783</v>
      </c>
      <c r="M107" s="80"/>
      <c r="N107" s="2"/>
    </row>
    <row r="108" spans="1:15" ht="15.75">
      <c r="A108" s="65"/>
      <c r="B108" s="3" t="s">
        <v>138</v>
      </c>
      <c r="C108" s="121"/>
      <c r="D108" s="121"/>
      <c r="E108" s="121"/>
      <c r="F108" s="121"/>
      <c r="G108" s="121"/>
      <c r="H108" s="17"/>
      <c r="I108" s="17"/>
      <c r="J108" s="17"/>
      <c r="K108" s="17"/>
      <c r="L108" s="17"/>
      <c r="M108" s="80"/>
      <c r="N108" s="2"/>
    </row>
    <row r="109" spans="1:15" ht="15.75">
      <c r="A109" s="65"/>
      <c r="B109" s="5" t="s">
        <v>187</v>
      </c>
      <c r="C109" s="121"/>
      <c r="D109" s="121"/>
      <c r="E109" s="121">
        <v>219.83</v>
      </c>
      <c r="F109" s="121"/>
      <c r="G109" s="121"/>
      <c r="H109" s="17"/>
      <c r="I109" s="17"/>
      <c r="J109" s="17"/>
      <c r="K109" s="17"/>
      <c r="L109" s="17"/>
      <c r="M109" s="80"/>
      <c r="N109" s="2"/>
    </row>
    <row r="110" spans="1:15" ht="15.7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0"/>
      <c r="N110" s="2"/>
    </row>
    <row r="114" spans="9:12" customFormat="1">
      <c r="I114" s="135"/>
      <c r="J114" s="135"/>
      <c r="K114" s="135"/>
      <c r="L114" s="135"/>
    </row>
  </sheetData>
  <mergeCells count="17">
    <mergeCell ref="G10:G11"/>
    <mergeCell ref="A8:W8"/>
    <mergeCell ref="E10:E11"/>
    <mergeCell ref="J1:L1"/>
    <mergeCell ref="A3:L3"/>
    <mergeCell ref="A4:L4"/>
    <mergeCell ref="A6:X6"/>
    <mergeCell ref="A10:A11"/>
    <mergeCell ref="B10:B11"/>
    <mergeCell ref="H10:H11"/>
    <mergeCell ref="I10:I11"/>
    <mergeCell ref="J10:L10"/>
    <mergeCell ref="M10:M11"/>
    <mergeCell ref="C10:C11"/>
    <mergeCell ref="A7:X7"/>
    <mergeCell ref="D10:D11"/>
    <mergeCell ref="F10:F1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workbookViewId="0">
      <selection activeCell="F26" sqref="F26"/>
    </sheetView>
  </sheetViews>
  <sheetFormatPr defaultRowHeight="12.75" outlineLevelCol="1"/>
  <cols>
    <col min="1" max="1" width="7.42578125" style="205" customWidth="1"/>
    <col min="2" max="2" width="35.7109375" style="205" customWidth="1"/>
    <col min="3" max="3" width="14.140625" style="205" customWidth="1"/>
    <col min="4" max="4" width="14.140625" style="205" customWidth="1" outlineLevel="1"/>
    <col min="5" max="5" width="14.140625" style="205" customWidth="1"/>
    <col min="6" max="6" width="27.42578125" style="205" customWidth="1"/>
    <col min="7" max="16384" width="9.140625" style="205"/>
  </cols>
  <sheetData>
    <row r="1" spans="1:6" ht="37.5" customHeight="1">
      <c r="B1" s="206"/>
      <c r="C1" s="387" t="s">
        <v>454</v>
      </c>
      <c r="D1" s="387"/>
      <c r="E1" s="387"/>
    </row>
    <row r="2" spans="1:6" ht="18.75">
      <c r="A2" s="207"/>
      <c r="B2" s="208"/>
      <c r="C2" s="207"/>
      <c r="D2" s="207"/>
      <c r="E2" s="207"/>
      <c r="F2" s="176"/>
    </row>
    <row r="3" spans="1:6" ht="18.75">
      <c r="A3" s="388" t="s">
        <v>406</v>
      </c>
      <c r="B3" s="388"/>
      <c r="C3" s="388"/>
      <c r="D3" s="388"/>
      <c r="E3" s="388"/>
      <c r="F3" s="209"/>
    </row>
    <row r="4" spans="1:6" ht="53.25" customHeight="1">
      <c r="A4" s="362" t="s">
        <v>453</v>
      </c>
      <c r="B4" s="362"/>
      <c r="C4" s="362"/>
      <c r="D4" s="362"/>
      <c r="E4" s="362"/>
    </row>
    <row r="5" spans="1:6" ht="19.5" customHeight="1">
      <c r="A5" s="172"/>
      <c r="B5" s="172"/>
      <c r="C5" s="172"/>
      <c r="D5" s="172"/>
      <c r="E5" s="172"/>
    </row>
    <row r="6" spans="1:6">
      <c r="A6" s="386" t="s">
        <v>160</v>
      </c>
      <c r="B6" s="386" t="s">
        <v>239</v>
      </c>
      <c r="C6" s="386" t="s">
        <v>240</v>
      </c>
      <c r="D6" s="386" t="s">
        <v>407</v>
      </c>
      <c r="E6" s="386" t="s">
        <v>408</v>
      </c>
    </row>
    <row r="7" spans="1:6" ht="26.25" customHeight="1">
      <c r="A7" s="386"/>
      <c r="B7" s="386"/>
      <c r="C7" s="386"/>
      <c r="D7" s="386"/>
      <c r="E7" s="386"/>
    </row>
    <row r="8" spans="1:6" ht="15" customHeight="1">
      <c r="A8" s="210">
        <v>1</v>
      </c>
      <c r="B8" s="210">
        <v>2</v>
      </c>
      <c r="C8" s="210">
        <v>3</v>
      </c>
      <c r="D8" s="210">
        <v>4</v>
      </c>
      <c r="E8" s="210">
        <v>5</v>
      </c>
    </row>
    <row r="9" spans="1:6" ht="31.5" customHeight="1">
      <c r="A9" s="210">
        <v>1</v>
      </c>
      <c r="B9" s="211" t="s">
        <v>241</v>
      </c>
      <c r="C9" s="210" t="s">
        <v>242</v>
      </c>
      <c r="D9" s="291">
        <v>0.40110000000000001</v>
      </c>
      <c r="E9" s="291">
        <f>'прил 1 Вода'!E15/'прил 1 Вода'!E14</f>
        <v>0.31351351351351353</v>
      </c>
      <c r="F9" s="209"/>
    </row>
    <row r="10" spans="1:6" ht="15.75">
      <c r="A10" s="210">
        <f>A9+1</f>
        <v>2</v>
      </c>
      <c r="B10" s="212" t="s">
        <v>243</v>
      </c>
      <c r="C10" s="210" t="s">
        <v>242</v>
      </c>
      <c r="D10" s="291">
        <v>0.15609999999999999</v>
      </c>
      <c r="E10" s="291">
        <v>0.19919999999999999</v>
      </c>
    </row>
    <row r="11" spans="1:6" ht="47.25">
      <c r="A11" s="210">
        <f>A10+1</f>
        <v>3</v>
      </c>
      <c r="B11" s="212" t="s">
        <v>244</v>
      </c>
      <c r="C11" s="210" t="s">
        <v>245</v>
      </c>
      <c r="D11" s="292">
        <v>7935</v>
      </c>
      <c r="E11" s="292">
        <v>7935</v>
      </c>
    </row>
    <row r="12" spans="1:6" ht="31.5">
      <c r="A12" s="210">
        <f>A11+1</f>
        <v>4</v>
      </c>
      <c r="B12" s="212" t="s">
        <v>246</v>
      </c>
      <c r="C12" s="210" t="s">
        <v>247</v>
      </c>
      <c r="D12" s="292">
        <v>8760</v>
      </c>
      <c r="E12" s="292">
        <v>8760</v>
      </c>
    </row>
    <row r="13" spans="1:6" ht="15.75">
      <c r="A13" s="210">
        <f>A12+1</f>
        <v>5</v>
      </c>
      <c r="B13" s="211" t="s">
        <v>409</v>
      </c>
      <c r="C13" s="210" t="s">
        <v>410</v>
      </c>
      <c r="D13" s="292">
        <v>1.1399999999999999</v>
      </c>
      <c r="E13" s="293">
        <v>1.36</v>
      </c>
    </row>
    <row r="14" spans="1:6" ht="16.5" thickBot="1">
      <c r="A14" s="210">
        <f>A13+1</f>
        <v>6</v>
      </c>
      <c r="B14" s="212" t="s">
        <v>411</v>
      </c>
      <c r="C14" s="210" t="s">
        <v>410</v>
      </c>
      <c r="D14" s="289">
        <v>0.7</v>
      </c>
      <c r="E14" s="289">
        <v>0.83</v>
      </c>
    </row>
    <row r="15" spans="1:6" ht="15.75" customHeight="1" thickBot="1">
      <c r="A15" s="210">
        <v>7</v>
      </c>
      <c r="B15" s="212" t="s">
        <v>412</v>
      </c>
      <c r="C15" s="210" t="s">
        <v>410</v>
      </c>
      <c r="D15" s="289">
        <v>0.44</v>
      </c>
      <c r="E15" s="289">
        <v>0.53</v>
      </c>
    </row>
    <row r="16" spans="1:6" ht="15.75" customHeight="1">
      <c r="A16" s="210">
        <v>8</v>
      </c>
      <c r="B16" s="212" t="s">
        <v>249</v>
      </c>
      <c r="C16" s="210" t="s">
        <v>242</v>
      </c>
      <c r="D16" s="292">
        <v>68</v>
      </c>
      <c r="E16" s="292">
        <v>68</v>
      </c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honeticPr fontId="38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62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</cols>
  <sheetData>
    <row r="1" spans="1:14" ht="42.75" customHeight="1">
      <c r="A1" s="213"/>
      <c r="B1" s="361" t="s">
        <v>413</v>
      </c>
      <c r="C1" s="361"/>
      <c r="D1" s="361"/>
      <c r="E1" s="361"/>
      <c r="F1" s="361"/>
      <c r="G1" s="361"/>
      <c r="H1" s="361"/>
      <c r="I1" s="214"/>
      <c r="J1" s="214"/>
      <c r="L1" s="215" t="s">
        <v>414</v>
      </c>
      <c r="M1" s="215"/>
      <c r="N1" s="215"/>
    </row>
    <row r="2" spans="1:14" ht="18.75" hidden="1">
      <c r="A2" s="213"/>
      <c r="B2" s="213"/>
      <c r="C2" s="213"/>
      <c r="D2" s="213"/>
      <c r="E2" s="216"/>
      <c r="F2" s="213"/>
      <c r="G2" s="213"/>
      <c r="H2" s="213"/>
    </row>
    <row r="3" spans="1:14" ht="48" customHeight="1">
      <c r="A3" s="361" t="s">
        <v>415</v>
      </c>
      <c r="B3" s="361"/>
      <c r="C3" s="361"/>
      <c r="D3" s="361"/>
      <c r="E3" s="361"/>
      <c r="F3" s="361"/>
      <c r="G3" s="361"/>
      <c r="H3" s="361"/>
    </row>
    <row r="4" spans="1:14" ht="18.75">
      <c r="A4" s="389" t="s">
        <v>416</v>
      </c>
      <c r="B4" s="389"/>
      <c r="C4" s="389"/>
      <c r="D4" s="389"/>
      <c r="E4" s="389"/>
      <c r="F4" s="389"/>
      <c r="G4" s="389"/>
      <c r="H4" s="389"/>
    </row>
    <row r="5" spans="1:14" ht="18.75">
      <c r="A5" s="389" t="s">
        <v>417</v>
      </c>
      <c r="B5" s="389"/>
      <c r="C5" s="389"/>
      <c r="D5" s="389"/>
      <c r="E5" s="389"/>
      <c r="F5" s="389"/>
      <c r="G5" s="389"/>
      <c r="H5" s="173"/>
    </row>
    <row r="6" spans="1:14" ht="19.5" thickBot="1">
      <c r="B6" s="173"/>
      <c r="C6" s="173"/>
      <c r="D6" s="173"/>
      <c r="E6" s="173"/>
      <c r="F6" s="173"/>
      <c r="H6" s="217" t="s">
        <v>219</v>
      </c>
    </row>
    <row r="7" spans="1:14" ht="84.6" customHeight="1">
      <c r="A7" s="392" t="s">
        <v>160</v>
      </c>
      <c r="B7" s="394" t="s">
        <v>1</v>
      </c>
      <c r="C7" s="390" t="s">
        <v>418</v>
      </c>
      <c r="D7" s="390" t="s">
        <v>419</v>
      </c>
      <c r="E7" s="390" t="s">
        <v>251</v>
      </c>
      <c r="F7" s="390" t="s">
        <v>420</v>
      </c>
      <c r="G7" s="390" t="s">
        <v>421</v>
      </c>
      <c r="H7" s="390" t="s">
        <v>422</v>
      </c>
      <c r="I7" s="218" t="s">
        <v>423</v>
      </c>
      <c r="J7" s="219" t="s">
        <v>424</v>
      </c>
      <c r="K7" s="220" t="s">
        <v>425</v>
      </c>
    </row>
    <row r="8" spans="1:14" ht="16.899999999999999" customHeight="1">
      <c r="A8" s="393"/>
      <c r="B8" s="395"/>
      <c r="C8" s="391"/>
      <c r="D8" s="391"/>
      <c r="E8" s="391"/>
      <c r="F8" s="391"/>
      <c r="G8" s="391"/>
      <c r="H8" s="391"/>
      <c r="I8" s="221"/>
      <c r="J8" s="222"/>
      <c r="K8" s="223"/>
    </row>
    <row r="9" spans="1:14" s="1" customFormat="1" ht="21" customHeight="1">
      <c r="A9" s="65">
        <v>1</v>
      </c>
      <c r="B9" s="65">
        <v>2</v>
      </c>
      <c r="C9" s="65">
        <v>3</v>
      </c>
      <c r="D9" s="65">
        <v>4</v>
      </c>
      <c r="E9" s="224"/>
      <c r="F9" s="225"/>
      <c r="G9" s="65">
        <v>5</v>
      </c>
      <c r="H9" s="226">
        <v>6</v>
      </c>
      <c r="I9" s="227" t="e">
        <f>I10+I11+I24+I25+I30+I32+I33+I41</f>
        <v>#REF!</v>
      </c>
      <c r="J9" s="65" t="e">
        <f>J10+J11+J24+J25+J30+J32+J33+J41</f>
        <v>#REF!</v>
      </c>
      <c r="K9" s="228" t="e">
        <f>K10+K11+K24+K25+K30+K32+K33+K41</f>
        <v>#REF!</v>
      </c>
    </row>
    <row r="10" spans="1:14" ht="34.15" customHeight="1">
      <c r="A10" s="65">
        <v>1</v>
      </c>
      <c r="B10" s="5" t="s">
        <v>5</v>
      </c>
      <c r="C10" s="5"/>
      <c r="D10" s="6"/>
      <c r="E10" s="65"/>
      <c r="F10" s="65"/>
      <c r="G10" s="65"/>
      <c r="H10" s="229" t="e">
        <f>G10/D10</f>
        <v>#DIV/0!</v>
      </c>
      <c r="I10" s="230"/>
      <c r="J10" s="65"/>
      <c r="K10" s="228"/>
    </row>
    <row r="11" spans="1:14" ht="39.75" hidden="1" customHeight="1">
      <c r="A11" s="65" t="s">
        <v>6</v>
      </c>
      <c r="B11" s="5" t="s">
        <v>7</v>
      </c>
      <c r="C11" s="5"/>
      <c r="D11" s="6"/>
      <c r="E11" s="231"/>
      <c r="F11" s="65"/>
      <c r="G11" s="6"/>
      <c r="H11" s="229" t="e">
        <f t="shared" ref="H11:H74" si="0">G11/D11</f>
        <v>#DIV/0!</v>
      </c>
      <c r="I11" s="227">
        <f>I12+I21</f>
        <v>2450.8999999999996</v>
      </c>
      <c r="J11" s="6">
        <f>J12+J21</f>
        <v>3675.2699999999995</v>
      </c>
      <c r="K11" s="74">
        <f>K12+K21</f>
        <v>3944.64</v>
      </c>
    </row>
    <row r="12" spans="1:14" ht="28.9" hidden="1" customHeight="1">
      <c r="A12" s="65" t="s">
        <v>8</v>
      </c>
      <c r="B12" s="5" t="s">
        <v>9</v>
      </c>
      <c r="C12" s="5"/>
      <c r="D12" s="6"/>
      <c r="E12" s="231"/>
      <c r="F12" s="65"/>
      <c r="G12" s="6"/>
      <c r="H12" s="229" t="e">
        <f t="shared" si="0"/>
        <v>#DIV/0!</v>
      </c>
      <c r="I12" s="227">
        <f>I13</f>
        <v>548.03</v>
      </c>
      <c r="J12" s="6">
        <f>J13</f>
        <v>821.28</v>
      </c>
      <c r="K12" s="74">
        <f>K13</f>
        <v>920.23</v>
      </c>
    </row>
    <row r="13" spans="1:14" ht="30" hidden="1" customHeight="1">
      <c r="A13" s="65" t="s">
        <v>10</v>
      </c>
      <c r="B13" s="5" t="s">
        <v>11</v>
      </c>
      <c r="C13" s="5"/>
      <c r="D13" s="6"/>
      <c r="E13" s="232"/>
      <c r="F13" s="6"/>
      <c r="G13" s="65"/>
      <c r="H13" s="229" t="e">
        <f t="shared" si="0"/>
        <v>#DIV/0!</v>
      </c>
      <c r="I13" s="230">
        <f>ROUND(I14*I15,2)</f>
        <v>548.03</v>
      </c>
      <c r="J13" s="65">
        <f>ROUND(J14*J15,2)</f>
        <v>821.28</v>
      </c>
      <c r="K13" s="228">
        <f>ROUND(K14*K15,2)</f>
        <v>920.23</v>
      </c>
    </row>
    <row r="14" spans="1:14" s="9" customFormat="1" ht="30" hidden="1" customHeight="1">
      <c r="A14" s="65" t="s">
        <v>12</v>
      </c>
      <c r="B14" s="5" t="s">
        <v>252</v>
      </c>
      <c r="C14" s="5"/>
      <c r="D14" s="233"/>
      <c r="E14" s="231"/>
      <c r="F14" s="65"/>
      <c r="G14" s="65"/>
      <c r="H14" s="229" t="e">
        <f t="shared" si="0"/>
        <v>#DIV/0!</v>
      </c>
      <c r="I14" s="234">
        <f>294.78-3.43</f>
        <v>291.34999999999997</v>
      </c>
      <c r="J14" s="66">
        <f>442.18-5.56</f>
        <v>436.62</v>
      </c>
      <c r="K14" s="235">
        <f>442.18+3.43+5.56</f>
        <v>451.17</v>
      </c>
    </row>
    <row r="15" spans="1:14" s="9" customFormat="1" ht="20.25" hidden="1" customHeight="1">
      <c r="A15" s="65"/>
      <c r="B15" s="5" t="s">
        <v>14</v>
      </c>
      <c r="C15" s="5"/>
      <c r="D15" s="17"/>
      <c r="E15" s="231"/>
      <c r="F15" s="65"/>
      <c r="G15" s="65"/>
      <c r="H15" s="229" t="e">
        <f t="shared" si="0"/>
        <v>#DIV/0!</v>
      </c>
      <c r="I15" s="234">
        <f>1.511+0.37</f>
        <v>1.8809999999999998</v>
      </c>
      <c r="J15" s="66">
        <f>1.511+0.37</f>
        <v>1.8809999999999998</v>
      </c>
      <c r="K15" s="236">
        <f>(1.511*1.105)+0.37</f>
        <v>2.0396549999999998</v>
      </c>
    </row>
    <row r="16" spans="1:14" ht="34.5" hidden="1" customHeight="1">
      <c r="A16" s="65"/>
      <c r="B16" s="5" t="s">
        <v>15</v>
      </c>
      <c r="C16" s="5"/>
      <c r="D16" s="65"/>
      <c r="E16" s="231"/>
      <c r="F16" s="65"/>
      <c r="G16" s="185"/>
      <c r="H16" s="229" t="e">
        <f t="shared" si="0"/>
        <v>#DIV/0!</v>
      </c>
      <c r="I16" s="230"/>
      <c r="J16" s="65"/>
      <c r="K16" s="228"/>
    </row>
    <row r="17" spans="1:11" s="9" customFormat="1" ht="16.149999999999999" hidden="1" customHeight="1">
      <c r="A17" s="65" t="s">
        <v>16</v>
      </c>
      <c r="B17" s="21" t="s">
        <v>426</v>
      </c>
      <c r="C17" s="21"/>
      <c r="D17" s="6"/>
      <c r="E17" s="231"/>
      <c r="F17" s="65"/>
      <c r="G17" s="65"/>
      <c r="H17" s="229" t="e">
        <f t="shared" si="0"/>
        <v>#DIV/0!</v>
      </c>
      <c r="I17" s="234"/>
      <c r="J17" s="66"/>
      <c r="K17" s="235"/>
    </row>
    <row r="18" spans="1:11" s="9" customFormat="1" ht="18.600000000000001" hidden="1" customHeight="1">
      <c r="A18" s="65"/>
      <c r="B18" s="5" t="s">
        <v>14</v>
      </c>
      <c r="C18" s="5"/>
      <c r="D18" s="65"/>
      <c r="E18" s="231"/>
      <c r="F18" s="65"/>
      <c r="G18" s="65"/>
      <c r="H18" s="229" t="e">
        <f t="shared" si="0"/>
        <v>#DIV/0!</v>
      </c>
      <c r="I18" s="234"/>
      <c r="J18" s="66"/>
      <c r="K18" s="235"/>
    </row>
    <row r="19" spans="1:11" ht="19.899999999999999" hidden="1" customHeight="1">
      <c r="A19" s="65"/>
      <c r="B19" s="5" t="s">
        <v>15</v>
      </c>
      <c r="C19" s="5"/>
      <c r="D19" s="65"/>
      <c r="E19" s="231"/>
      <c r="F19" s="65"/>
      <c r="G19" s="65"/>
      <c r="H19" s="229" t="e">
        <f t="shared" si="0"/>
        <v>#DIV/0!</v>
      </c>
      <c r="I19" s="230"/>
      <c r="J19" s="65"/>
      <c r="K19" s="228"/>
    </row>
    <row r="20" spans="1:11" ht="19.149999999999999" hidden="1" customHeight="1">
      <c r="A20" s="65" t="s">
        <v>17</v>
      </c>
      <c r="B20" s="5" t="s">
        <v>18</v>
      </c>
      <c r="C20" s="5"/>
      <c r="D20" s="6"/>
      <c r="E20" s="231"/>
      <c r="F20" s="65"/>
      <c r="G20" s="65"/>
      <c r="H20" s="229" t="e">
        <f t="shared" si="0"/>
        <v>#DIV/0!</v>
      </c>
      <c r="I20" s="230"/>
      <c r="J20" s="65"/>
      <c r="K20" s="228"/>
    </row>
    <row r="21" spans="1:11" ht="19.149999999999999" hidden="1" customHeight="1">
      <c r="A21" s="65" t="s">
        <v>19</v>
      </c>
      <c r="B21" s="5" t="s">
        <v>20</v>
      </c>
      <c r="C21" s="5"/>
      <c r="D21" s="6"/>
      <c r="E21" s="231"/>
      <c r="F21" s="65"/>
      <c r="G21" s="6"/>
      <c r="H21" s="229" t="e">
        <f t="shared" si="0"/>
        <v>#DIV/0!</v>
      </c>
      <c r="I21" s="227">
        <f>ROUND(I22*I23,2)</f>
        <v>1902.87</v>
      </c>
      <c r="J21" s="6">
        <f>ROUND(J22*J23,2)</f>
        <v>2853.99</v>
      </c>
      <c r="K21" s="74">
        <f>ROUND(K22*K23,2)</f>
        <v>3024.41</v>
      </c>
    </row>
    <row r="22" spans="1:11" s="9" customFormat="1" ht="19.149999999999999" hidden="1" customHeight="1">
      <c r="A22" s="65" t="s">
        <v>21</v>
      </c>
      <c r="B22" s="5" t="s">
        <v>427</v>
      </c>
      <c r="C22" s="5"/>
      <c r="D22" s="6"/>
      <c r="E22" s="6"/>
      <c r="F22" s="6"/>
      <c r="G22" s="65"/>
      <c r="H22" s="229" t="e">
        <f t="shared" si="0"/>
        <v>#DIV/0!</v>
      </c>
      <c r="I22" s="234">
        <v>124.86</v>
      </c>
      <c r="J22" s="66">
        <v>187.27</v>
      </c>
      <c r="K22" s="235">
        <v>187.27</v>
      </c>
    </row>
    <row r="23" spans="1:11" s="9" customFormat="1" ht="16.899999999999999" hidden="1" customHeight="1">
      <c r="A23" s="65" t="s">
        <v>23</v>
      </c>
      <c r="B23" s="5" t="s">
        <v>24</v>
      </c>
      <c r="C23" s="5"/>
      <c r="D23" s="65"/>
      <c r="E23" s="231"/>
      <c r="F23" s="65"/>
      <c r="G23" s="65"/>
      <c r="H23" s="229" t="e">
        <f t="shared" si="0"/>
        <v>#DIV/0!</v>
      </c>
      <c r="I23" s="234">
        <v>15.24</v>
      </c>
      <c r="J23" s="66">
        <v>15.24</v>
      </c>
      <c r="K23" s="235">
        <v>16.149999999999999</v>
      </c>
    </row>
    <row r="24" spans="1:11" ht="34.9" hidden="1" customHeight="1">
      <c r="A24" s="65" t="s">
        <v>25</v>
      </c>
      <c r="B24" s="5" t="s">
        <v>26</v>
      </c>
      <c r="C24" s="5"/>
      <c r="D24" s="65"/>
      <c r="E24" s="231"/>
      <c r="F24" s="65"/>
      <c r="G24" s="6"/>
      <c r="H24" s="229" t="e">
        <f t="shared" si="0"/>
        <v>#DIV/0!</v>
      </c>
      <c r="I24" s="230"/>
      <c r="J24" s="65"/>
      <c r="K24" s="228"/>
    </row>
    <row r="25" spans="1:11" ht="31.5" hidden="1">
      <c r="A25" s="65" t="s">
        <v>27</v>
      </c>
      <c r="B25" s="5" t="s">
        <v>28</v>
      </c>
      <c r="C25" s="5"/>
      <c r="D25" s="6"/>
      <c r="E25" s="231"/>
      <c r="F25" s="65"/>
      <c r="G25" s="6"/>
      <c r="H25" s="229" t="e">
        <f t="shared" si="0"/>
        <v>#DIV/0!</v>
      </c>
      <c r="I25" s="230" t="e">
        <f>ROUND((#REF!/10*4)/1000,2)</f>
        <v>#REF!</v>
      </c>
      <c r="J25" s="65" t="e">
        <f>ROUND((#REF!/10*6)/1000,2)</f>
        <v>#REF!</v>
      </c>
      <c r="K25" s="228" t="e">
        <f>ROUND((#REF!/1000),2)</f>
        <v>#REF!</v>
      </c>
    </row>
    <row r="26" spans="1:11" s="9" customFormat="1" ht="31.5" hidden="1">
      <c r="A26" s="65" t="s">
        <v>29</v>
      </c>
      <c r="B26" s="5" t="s">
        <v>30</v>
      </c>
      <c r="C26" s="5"/>
      <c r="D26" s="65"/>
      <c r="E26" s="231"/>
      <c r="F26" s="65"/>
      <c r="G26" s="65"/>
      <c r="H26" s="229" t="e">
        <f t="shared" si="0"/>
        <v>#DIV/0!</v>
      </c>
      <c r="I26" s="234">
        <v>2.4</v>
      </c>
      <c r="J26" s="66">
        <v>2.4</v>
      </c>
      <c r="K26" s="235">
        <v>2.4</v>
      </c>
    </row>
    <row r="27" spans="1:11" s="9" customFormat="1" ht="15.75" hidden="1">
      <c r="A27" s="65" t="s">
        <v>31</v>
      </c>
      <c r="B27" s="5" t="s">
        <v>32</v>
      </c>
      <c r="C27" s="5"/>
      <c r="D27" s="65"/>
      <c r="E27" s="231"/>
      <c r="F27" s="65"/>
      <c r="G27" s="65"/>
      <c r="H27" s="229" t="e">
        <f t="shared" si="0"/>
        <v>#DIV/0!</v>
      </c>
      <c r="I27" s="234"/>
      <c r="J27" s="66"/>
      <c r="K27" s="235"/>
    </row>
    <row r="28" spans="1:11" s="9" customFormat="1" ht="15.75" hidden="1">
      <c r="A28" s="65" t="s">
        <v>225</v>
      </c>
      <c r="B28" s="15" t="s">
        <v>33</v>
      </c>
      <c r="C28" s="15"/>
      <c r="D28" s="65"/>
      <c r="E28" s="231"/>
      <c r="F28" s="65"/>
      <c r="G28" s="65"/>
      <c r="H28" s="229" t="e">
        <f t="shared" si="0"/>
        <v>#DIV/0!</v>
      </c>
      <c r="I28" s="234"/>
      <c r="J28" s="66"/>
      <c r="K28" s="235"/>
    </row>
    <row r="29" spans="1:11" s="111" customFormat="1" ht="21" hidden="1" customHeight="1">
      <c r="A29" s="71" t="s">
        <v>226</v>
      </c>
      <c r="B29" s="15" t="s">
        <v>34</v>
      </c>
      <c r="C29" s="15"/>
      <c r="D29" s="65"/>
      <c r="E29" s="231"/>
      <c r="F29" s="65"/>
      <c r="G29" s="71"/>
      <c r="H29" s="229" t="e">
        <f t="shared" si="0"/>
        <v>#DIV/0!</v>
      </c>
      <c r="I29" s="237" t="e">
        <f>ROUND(I25/I26/4*1000,2)</f>
        <v>#REF!</v>
      </c>
      <c r="J29" s="107" t="e">
        <f>ROUND(J25/J26/6*1000,2)</f>
        <v>#REF!</v>
      </c>
      <c r="K29" s="238" t="e">
        <f>ROUND(K25/K26/6*1000,2)</f>
        <v>#REF!</v>
      </c>
    </row>
    <row r="30" spans="1:11" ht="21.75" hidden="1" customHeight="1">
      <c r="A30" s="65" t="s">
        <v>227</v>
      </c>
      <c r="B30" s="72" t="s">
        <v>36</v>
      </c>
      <c r="C30" s="72"/>
      <c r="D30" s="71"/>
      <c r="E30" s="71"/>
      <c r="F30" s="71"/>
      <c r="G30" s="65"/>
      <c r="H30" s="229" t="e">
        <f t="shared" si="0"/>
        <v>#DIV/0!</v>
      </c>
      <c r="I30" s="230" t="e">
        <f>ROUND(I25*0.305,2)</f>
        <v>#REF!</v>
      </c>
      <c r="J30" s="65" t="e">
        <f>ROUND(J25*0.305,2)</f>
        <v>#REF!</v>
      </c>
      <c r="K30" s="228" t="e">
        <f>ROUND(K25*0.305,2)</f>
        <v>#REF!</v>
      </c>
    </row>
    <row r="31" spans="1:11" ht="21.75" hidden="1" customHeight="1">
      <c r="A31" s="65" t="s">
        <v>37</v>
      </c>
      <c r="B31" s="15" t="s">
        <v>38</v>
      </c>
      <c r="C31" s="15"/>
      <c r="D31" s="65"/>
      <c r="E31" s="65"/>
      <c r="F31" s="65"/>
      <c r="G31" s="65"/>
      <c r="H31" s="229" t="e">
        <f t="shared" si="0"/>
        <v>#DIV/0!</v>
      </c>
      <c r="I31" s="230">
        <v>30.5</v>
      </c>
      <c r="J31" s="65">
        <v>30.5</v>
      </c>
      <c r="K31" s="228">
        <v>30.5</v>
      </c>
    </row>
    <row r="32" spans="1:11" ht="29.25" hidden="1" customHeight="1">
      <c r="A32" s="65" t="s">
        <v>228</v>
      </c>
      <c r="B32" s="15" t="s">
        <v>39</v>
      </c>
      <c r="C32" s="15"/>
      <c r="D32" s="65"/>
      <c r="E32" s="65"/>
      <c r="F32" s="65"/>
      <c r="G32" s="6"/>
      <c r="H32" s="229" t="e">
        <f t="shared" si="0"/>
        <v>#DIV/0!</v>
      </c>
      <c r="I32" s="230"/>
      <c r="J32" s="65"/>
      <c r="K32" s="228"/>
    </row>
    <row r="33" spans="1:11" ht="53.25" hidden="1" customHeight="1">
      <c r="A33" s="65" t="s">
        <v>40</v>
      </c>
      <c r="B33" s="5" t="s">
        <v>41</v>
      </c>
      <c r="C33" s="5"/>
      <c r="D33" s="6"/>
      <c r="E33" s="232"/>
      <c r="F33" s="6"/>
      <c r="G33" s="6"/>
      <c r="H33" s="229" t="e">
        <f t="shared" si="0"/>
        <v>#DIV/0!</v>
      </c>
      <c r="I33" s="227" t="e">
        <f>I34+I38+I39+I40</f>
        <v>#REF!</v>
      </c>
      <c r="J33" s="6" t="e">
        <f>J34+J38+J39+J40</f>
        <v>#REF!</v>
      </c>
      <c r="K33" s="74" t="e">
        <f>K34+K38+K39+K40</f>
        <v>#REF!</v>
      </c>
    </row>
    <row r="34" spans="1:11" ht="36" hidden="1" customHeight="1">
      <c r="A34" s="65" t="s">
        <v>42</v>
      </c>
      <c r="B34" s="5" t="s">
        <v>43</v>
      </c>
      <c r="C34" s="5"/>
      <c r="D34" s="6"/>
      <c r="E34" s="6"/>
      <c r="F34" s="6"/>
      <c r="G34" s="6"/>
      <c r="H34" s="229" t="e">
        <f t="shared" si="0"/>
        <v>#DIV/0!</v>
      </c>
      <c r="I34" s="230" t="e">
        <f>ROUND((#REF!/10*4)/1000,2)</f>
        <v>#REF!</v>
      </c>
      <c r="J34" s="65" t="e">
        <f>ROUND((#REF!/10*6)/1000,2)</f>
        <v>#REF!</v>
      </c>
      <c r="K34" s="228" t="e">
        <f>ROUND(#REF!/1000,2)</f>
        <v>#REF!</v>
      </c>
    </row>
    <row r="35" spans="1:11" ht="34.5" hidden="1" customHeight="1">
      <c r="A35" s="65" t="s">
        <v>257</v>
      </c>
      <c r="B35" s="5" t="s">
        <v>44</v>
      </c>
      <c r="C35" s="5"/>
      <c r="D35" s="6"/>
      <c r="E35" s="232"/>
      <c r="F35" s="6"/>
      <c r="G35" s="6"/>
      <c r="H35" s="229" t="e">
        <f t="shared" si="0"/>
        <v>#DIV/0!</v>
      </c>
      <c r="I35" s="230">
        <v>0.5</v>
      </c>
      <c r="J35" s="65">
        <v>0.5</v>
      </c>
      <c r="K35" s="228">
        <v>0.5</v>
      </c>
    </row>
    <row r="36" spans="1:11" ht="17.45" hidden="1" customHeight="1">
      <c r="A36" s="65"/>
      <c r="B36" s="5" t="s">
        <v>32</v>
      </c>
      <c r="C36" s="5"/>
      <c r="D36" s="6"/>
      <c r="E36" s="232"/>
      <c r="F36" s="6"/>
      <c r="G36" s="65"/>
      <c r="H36" s="229" t="e">
        <f t="shared" si="0"/>
        <v>#DIV/0!</v>
      </c>
      <c r="I36" s="230"/>
      <c r="J36" s="65"/>
      <c r="K36" s="228"/>
    </row>
    <row r="37" spans="1:11" s="81" customFormat="1" ht="18.600000000000001" hidden="1" customHeight="1">
      <c r="A37" s="71"/>
      <c r="B37" s="15" t="s">
        <v>34</v>
      </c>
      <c r="C37" s="15"/>
      <c r="D37" s="65"/>
      <c r="E37" s="231"/>
      <c r="F37" s="65"/>
      <c r="G37" s="17"/>
      <c r="H37" s="229" t="e">
        <f t="shared" si="0"/>
        <v>#DIV/0!</v>
      </c>
      <c r="I37" s="239" t="e">
        <f>I34/I35/4*1000</f>
        <v>#REF!</v>
      </c>
      <c r="J37" s="17" t="e">
        <f>J34/J35/6*1000</f>
        <v>#REF!</v>
      </c>
      <c r="K37" s="240" t="e">
        <f>K34/K35/6*1000</f>
        <v>#REF!</v>
      </c>
    </row>
    <row r="38" spans="1:11" ht="23.25" hidden="1" customHeight="1">
      <c r="A38" s="65"/>
      <c r="B38" s="72" t="s">
        <v>36</v>
      </c>
      <c r="C38" s="72"/>
      <c r="D38" s="17"/>
      <c r="E38" s="17"/>
      <c r="F38" s="17"/>
      <c r="G38" s="6"/>
      <c r="H38" s="229" t="e">
        <f t="shared" si="0"/>
        <v>#DIV/0!</v>
      </c>
      <c r="I38" s="227" t="e">
        <f>ROUND(I34*0.305,2)</f>
        <v>#REF!</v>
      </c>
      <c r="J38" s="6" t="e">
        <f>ROUND(J34*0.305,2)</f>
        <v>#REF!</v>
      </c>
      <c r="K38" s="74" t="e">
        <f>ROUND(K34*0.305,2)</f>
        <v>#REF!</v>
      </c>
    </row>
    <row r="39" spans="1:11" ht="19.149999999999999" hidden="1" customHeight="1">
      <c r="A39" s="65" t="s">
        <v>258</v>
      </c>
      <c r="B39" s="15" t="s">
        <v>38</v>
      </c>
      <c r="C39" s="15"/>
      <c r="D39" s="6"/>
      <c r="E39" s="6"/>
      <c r="F39" s="6"/>
      <c r="G39" s="65"/>
      <c r="H39" s="229" t="e">
        <f t="shared" si="0"/>
        <v>#DIV/0!</v>
      </c>
      <c r="I39" s="230"/>
      <c r="J39" s="65"/>
      <c r="K39" s="228"/>
    </row>
    <row r="40" spans="1:11" ht="19.149999999999999" hidden="1" customHeight="1">
      <c r="A40" s="65" t="s">
        <v>45</v>
      </c>
      <c r="B40" s="15" t="s">
        <v>46</v>
      </c>
      <c r="C40" s="15"/>
      <c r="D40" s="6"/>
      <c r="E40" s="232"/>
      <c r="F40" s="6"/>
      <c r="G40" s="6"/>
      <c r="H40" s="229" t="e">
        <f t="shared" si="0"/>
        <v>#DIV/0!</v>
      </c>
      <c r="I40" s="230"/>
      <c r="J40" s="65"/>
      <c r="K40" s="228"/>
    </row>
    <row r="41" spans="1:11" ht="52.9" hidden="1" customHeight="1">
      <c r="A41" s="65" t="s">
        <v>47</v>
      </c>
      <c r="B41" s="15" t="s">
        <v>48</v>
      </c>
      <c r="C41" s="15"/>
      <c r="D41" s="6"/>
      <c r="E41" s="232"/>
      <c r="F41" s="6"/>
      <c r="G41" s="6"/>
      <c r="H41" s="229" t="e">
        <f t="shared" si="0"/>
        <v>#DIV/0!</v>
      </c>
      <c r="I41" s="230"/>
      <c r="J41" s="65"/>
      <c r="K41" s="228"/>
    </row>
    <row r="42" spans="1:11" ht="29.25" hidden="1" customHeight="1">
      <c r="A42" s="65" t="s">
        <v>49</v>
      </c>
      <c r="B42" s="5" t="s">
        <v>50</v>
      </c>
      <c r="C42" s="5"/>
      <c r="D42" s="6"/>
      <c r="E42" s="232"/>
      <c r="F42" s="6"/>
      <c r="G42" s="6"/>
      <c r="H42" s="229" t="e">
        <f t="shared" si="0"/>
        <v>#DIV/0!</v>
      </c>
      <c r="I42" s="230" t="e">
        <f>I43++I48+I49+I53</f>
        <v>#REF!</v>
      </c>
      <c r="J42" s="65" t="e">
        <f>J43++J48+J49+J53</f>
        <v>#REF!</v>
      </c>
      <c r="K42" s="228" t="e">
        <f>K43++K48+K49+K53</f>
        <v>#REF!</v>
      </c>
    </row>
    <row r="43" spans="1:11" ht="15.75">
      <c r="A43" s="65" t="s">
        <v>51</v>
      </c>
      <c r="B43" s="15" t="s">
        <v>52</v>
      </c>
      <c r="C43" s="15"/>
      <c r="D43" s="65"/>
      <c r="E43" s="65"/>
      <c r="F43" s="65"/>
      <c r="G43" s="6"/>
      <c r="H43" s="229" t="e">
        <f t="shared" si="0"/>
        <v>#DIV/0!</v>
      </c>
      <c r="I43" s="230">
        <f>I44+I45+I46+I47</f>
        <v>0</v>
      </c>
      <c r="J43" s="65">
        <f>J44+J45+J46+J47</f>
        <v>0</v>
      </c>
      <c r="K43" s="228">
        <f>K44+K45+K46+K47</f>
        <v>0</v>
      </c>
    </row>
    <row r="44" spans="1:11" ht="31.5" hidden="1">
      <c r="A44" s="65" t="s">
        <v>53</v>
      </c>
      <c r="B44" s="5" t="s">
        <v>54</v>
      </c>
      <c r="C44" s="5"/>
      <c r="D44" s="6"/>
      <c r="E44" s="6"/>
      <c r="F44" s="6"/>
      <c r="G44" s="6"/>
      <c r="H44" s="229" t="e">
        <f t="shared" si="0"/>
        <v>#DIV/0!</v>
      </c>
      <c r="I44" s="230">
        <f>75.82-75.82</f>
        <v>0</v>
      </c>
      <c r="J44" s="65">
        <f>113.73-113.73</f>
        <v>0</v>
      </c>
      <c r="K44" s="228">
        <v>0</v>
      </c>
    </row>
    <row r="45" spans="1:11" ht="47.25" hidden="1">
      <c r="A45" s="65" t="s">
        <v>55</v>
      </c>
      <c r="B45" s="21" t="s">
        <v>56</v>
      </c>
      <c r="C45" s="21"/>
      <c r="D45" s="6"/>
      <c r="E45" s="232"/>
      <c r="F45" s="6"/>
      <c r="G45" s="6"/>
      <c r="H45" s="229" t="e">
        <f t="shared" si="0"/>
        <v>#DIV/0!</v>
      </c>
      <c r="I45" s="230"/>
      <c r="J45" s="65"/>
      <c r="K45" s="228"/>
    </row>
    <row r="46" spans="1:11" ht="31.5" hidden="1">
      <c r="A46" s="65" t="s">
        <v>57</v>
      </c>
      <c r="B46" s="21" t="s">
        <v>253</v>
      </c>
      <c r="C46" s="21"/>
      <c r="D46" s="6"/>
      <c r="E46" s="232"/>
      <c r="F46" s="6"/>
      <c r="G46" s="6"/>
      <c r="H46" s="229" t="e">
        <f t="shared" si="0"/>
        <v>#DIV/0!</v>
      </c>
      <c r="I46" s="230"/>
      <c r="J46" s="65"/>
      <c r="K46" s="228"/>
    </row>
    <row r="47" spans="1:11" ht="31.5" hidden="1">
      <c r="A47" s="65" t="s">
        <v>60</v>
      </c>
      <c r="B47" s="5" t="s">
        <v>61</v>
      </c>
      <c r="C47" s="5"/>
      <c r="D47" s="6"/>
      <c r="E47" s="232"/>
      <c r="F47" s="6"/>
      <c r="G47" s="6"/>
      <c r="H47" s="229" t="e">
        <f t="shared" si="0"/>
        <v>#DIV/0!</v>
      </c>
      <c r="I47" s="230"/>
      <c r="J47" s="65"/>
      <c r="K47" s="228"/>
    </row>
    <row r="48" spans="1:11" ht="31.5" hidden="1">
      <c r="A48" s="65" t="s">
        <v>62</v>
      </c>
      <c r="B48" s="5" t="s">
        <v>63</v>
      </c>
      <c r="C48" s="5"/>
      <c r="D48" s="6"/>
      <c r="E48" s="232"/>
      <c r="F48" s="6"/>
      <c r="G48" s="6"/>
      <c r="H48" s="229" t="e">
        <f t="shared" si="0"/>
        <v>#DIV/0!</v>
      </c>
      <c r="I48" s="230"/>
      <c r="J48" s="65"/>
      <c r="K48" s="228"/>
    </row>
    <row r="49" spans="1:11" ht="15.75" hidden="1">
      <c r="A49" s="65" t="s">
        <v>64</v>
      </c>
      <c r="B49" s="5" t="s">
        <v>65</v>
      </c>
      <c r="C49" s="5"/>
      <c r="D49" s="6"/>
      <c r="E49" s="232"/>
      <c r="F49" s="6"/>
      <c r="G49" s="6"/>
      <c r="H49" s="229" t="e">
        <f t="shared" si="0"/>
        <v>#DIV/0!</v>
      </c>
      <c r="I49" s="230" t="e">
        <f>ROUND((#REF!/10*4/1000),2)</f>
        <v>#REF!</v>
      </c>
      <c r="J49" s="65" t="e">
        <f>ROUND((#REF!/10*6)/1000,2)</f>
        <v>#REF!</v>
      </c>
      <c r="K49" s="228" t="e">
        <f>ROUND(#REF!/1000,2)</f>
        <v>#REF!</v>
      </c>
    </row>
    <row r="50" spans="1:11" s="9" customFormat="1" ht="34.9" hidden="1" customHeight="1">
      <c r="A50" s="65" t="s">
        <v>66</v>
      </c>
      <c r="B50" s="15" t="s">
        <v>67</v>
      </c>
      <c r="C50" s="15"/>
      <c r="D50" s="65"/>
      <c r="E50" s="231"/>
      <c r="F50" s="65"/>
      <c r="G50" s="65"/>
      <c r="H50" s="229" t="e">
        <f t="shared" si="0"/>
        <v>#DIV/0!</v>
      </c>
      <c r="I50" s="234">
        <v>4.3</v>
      </c>
      <c r="J50" s="66">
        <v>4.3</v>
      </c>
      <c r="K50" s="235">
        <v>4.3</v>
      </c>
    </row>
    <row r="51" spans="1:11" s="9" customFormat="1" ht="21" hidden="1" customHeight="1">
      <c r="A51" s="65" t="s">
        <v>68</v>
      </c>
      <c r="B51" s="15" t="s">
        <v>69</v>
      </c>
      <c r="C51" s="15"/>
      <c r="D51" s="65"/>
      <c r="E51" s="65"/>
      <c r="F51" s="65"/>
      <c r="G51" s="65"/>
      <c r="H51" s="229" t="e">
        <f t="shared" si="0"/>
        <v>#DIV/0!</v>
      </c>
      <c r="I51" s="234"/>
      <c r="J51" s="66"/>
      <c r="K51" s="235"/>
    </row>
    <row r="52" spans="1:11" s="111" customFormat="1" ht="15.75" hidden="1">
      <c r="A52" s="71" t="s">
        <v>70</v>
      </c>
      <c r="B52" s="15" t="s">
        <v>34</v>
      </c>
      <c r="C52" s="15"/>
      <c r="D52" s="65"/>
      <c r="E52" s="231"/>
      <c r="F52" s="65"/>
      <c r="G52" s="17"/>
      <c r="H52" s="229" t="e">
        <f t="shared" si="0"/>
        <v>#DIV/0!</v>
      </c>
      <c r="I52" s="241" t="e">
        <f>I49/I50/4*1000</f>
        <v>#REF!</v>
      </c>
      <c r="J52" s="109" t="e">
        <f>J49/J50/6*1000</f>
        <v>#REF!</v>
      </c>
      <c r="K52" s="242" t="e">
        <f>K49/K50/6*1000</f>
        <v>#REF!</v>
      </c>
    </row>
    <row r="53" spans="1:11" ht="24.75" hidden="1" customHeight="1">
      <c r="A53" s="68" t="s">
        <v>71</v>
      </c>
      <c r="B53" s="72" t="s">
        <v>36</v>
      </c>
      <c r="C53" s="72"/>
      <c r="D53" s="17"/>
      <c r="E53" s="17"/>
      <c r="F53" s="17"/>
      <c r="G53" s="6"/>
      <c r="H53" s="229" t="e">
        <f t="shared" si="0"/>
        <v>#DIV/0!</v>
      </c>
      <c r="I53" s="230" t="e">
        <f>ROUND(I49*0.305,2)</f>
        <v>#REF!</v>
      </c>
      <c r="J53" s="65" t="e">
        <f>ROUND(J49*0.305,2)</f>
        <v>#REF!</v>
      </c>
      <c r="K53" s="228" t="e">
        <f>ROUND(K49*0.305,2)</f>
        <v>#REF!</v>
      </c>
    </row>
    <row r="54" spans="1:11" ht="28.5" hidden="1" customHeight="1">
      <c r="A54" s="68" t="s">
        <v>72</v>
      </c>
      <c r="B54" s="15" t="s">
        <v>38</v>
      </c>
      <c r="C54" s="15"/>
      <c r="D54" s="65"/>
      <c r="E54" s="65"/>
      <c r="F54" s="65"/>
      <c r="G54" s="65"/>
      <c r="H54" s="229" t="e">
        <f t="shared" si="0"/>
        <v>#DIV/0!</v>
      </c>
      <c r="I54" s="230">
        <f>I55+I56+I58+I59+I60+I61+I62+I63+I64+I65+I66+I67</f>
        <v>-48.02</v>
      </c>
      <c r="J54" s="65">
        <f>J55+J56+J58+J59+J60+J61+J62+J63+J64+J65+J66+J67</f>
        <v>0</v>
      </c>
      <c r="K54" s="228">
        <f>K55+K56+K58+K59+K60+K61+K62+K63+K64+K65+K66+K67</f>
        <v>0</v>
      </c>
    </row>
    <row r="55" spans="1:11" ht="31.5">
      <c r="A55" s="65" t="s">
        <v>73</v>
      </c>
      <c r="B55" s="5" t="s">
        <v>74</v>
      </c>
      <c r="C55" s="5"/>
      <c r="D55" s="65"/>
      <c r="E55" s="65"/>
      <c r="F55" s="65"/>
      <c r="G55" s="6"/>
      <c r="H55" s="229" t="e">
        <f t="shared" si="0"/>
        <v>#DIV/0!</v>
      </c>
      <c r="I55" s="230"/>
      <c r="J55" s="65"/>
      <c r="K55" s="228"/>
    </row>
    <row r="56" spans="1:11" ht="31.5" hidden="1">
      <c r="A56" s="65" t="s">
        <v>75</v>
      </c>
      <c r="B56" s="5" t="s">
        <v>76</v>
      </c>
      <c r="C56" s="5"/>
      <c r="D56" s="65"/>
      <c r="E56" s="231"/>
      <c r="F56" s="65"/>
      <c r="G56" s="6"/>
      <c r="H56" s="229" t="e">
        <f t="shared" si="0"/>
        <v>#DIV/0!</v>
      </c>
      <c r="I56" s="230"/>
      <c r="J56" s="65"/>
      <c r="K56" s="228"/>
    </row>
    <row r="57" spans="1:11" s="9" customFormat="1" ht="31.5" hidden="1">
      <c r="A57" s="65" t="s">
        <v>77</v>
      </c>
      <c r="B57" s="5" t="s">
        <v>78</v>
      </c>
      <c r="C57" s="5"/>
      <c r="D57" s="65"/>
      <c r="E57" s="231"/>
      <c r="F57" s="65"/>
      <c r="G57" s="6"/>
      <c r="H57" s="229" t="e">
        <f t="shared" si="0"/>
        <v>#DIV/0!</v>
      </c>
      <c r="I57" s="234"/>
      <c r="J57" s="66"/>
      <c r="K57" s="235"/>
    </row>
    <row r="58" spans="1:11" ht="15.75" hidden="1">
      <c r="A58" s="65" t="s">
        <v>79</v>
      </c>
      <c r="B58" s="5" t="s">
        <v>80</v>
      </c>
      <c r="C58" s="5"/>
      <c r="D58" s="65"/>
      <c r="E58" s="231"/>
      <c r="F58" s="65"/>
      <c r="G58" s="6"/>
      <c r="H58" s="229" t="e">
        <f t="shared" si="0"/>
        <v>#DIV/0!</v>
      </c>
      <c r="I58" s="230"/>
      <c r="J58" s="65"/>
      <c r="K58" s="228"/>
    </row>
    <row r="59" spans="1:11" ht="15.75" hidden="1">
      <c r="A59" s="65" t="s">
        <v>81</v>
      </c>
      <c r="B59" s="15" t="s">
        <v>38</v>
      </c>
      <c r="C59" s="15"/>
      <c r="D59" s="65"/>
      <c r="E59" s="231"/>
      <c r="F59" s="65"/>
      <c r="G59" s="6"/>
      <c r="H59" s="229" t="e">
        <f t="shared" si="0"/>
        <v>#DIV/0!</v>
      </c>
      <c r="I59" s="230"/>
      <c r="J59" s="65"/>
      <c r="K59" s="228"/>
    </row>
    <row r="60" spans="1:11" ht="31.5" hidden="1">
      <c r="A60" s="65" t="s">
        <v>82</v>
      </c>
      <c r="B60" s="15" t="s">
        <v>87</v>
      </c>
      <c r="C60" s="15"/>
      <c r="D60" s="65"/>
      <c r="E60" s="231"/>
      <c r="F60" s="65"/>
      <c r="G60" s="6"/>
      <c r="H60" s="229" t="e">
        <f t="shared" si="0"/>
        <v>#DIV/0!</v>
      </c>
      <c r="I60" s="230"/>
      <c r="J60" s="65"/>
      <c r="K60" s="228"/>
    </row>
    <row r="61" spans="1:11" ht="21.6" hidden="1" customHeight="1">
      <c r="A61" s="65" t="s">
        <v>85</v>
      </c>
      <c r="B61" s="15" t="s">
        <v>89</v>
      </c>
      <c r="C61" s="15"/>
      <c r="D61" s="65"/>
      <c r="E61" s="231"/>
      <c r="F61" s="65"/>
      <c r="G61" s="6"/>
      <c r="H61" s="229" t="e">
        <f t="shared" si="0"/>
        <v>#DIV/0!</v>
      </c>
      <c r="I61" s="230">
        <f>ROUND(D62/16*4,2)-48.02</f>
        <v>-48.02</v>
      </c>
      <c r="J61" s="65">
        <f>72.03-72.03</f>
        <v>0</v>
      </c>
      <c r="K61" s="228"/>
    </row>
    <row r="62" spans="1:11" ht="19.149999999999999" hidden="1" customHeight="1">
      <c r="A62" s="65" t="s">
        <v>75</v>
      </c>
      <c r="B62" s="15" t="s">
        <v>91</v>
      </c>
      <c r="C62" s="15"/>
      <c r="D62" s="65"/>
      <c r="E62" s="231"/>
      <c r="F62" s="65"/>
      <c r="G62" s="6"/>
      <c r="H62" s="229" t="e">
        <f t="shared" si="0"/>
        <v>#DIV/0!</v>
      </c>
      <c r="I62" s="230"/>
      <c r="J62" s="65"/>
      <c r="K62" s="228"/>
    </row>
    <row r="63" spans="1:11" ht="32.450000000000003" hidden="1" customHeight="1">
      <c r="A63" s="65" t="s">
        <v>88</v>
      </c>
      <c r="B63" s="15" t="s">
        <v>93</v>
      </c>
      <c r="C63" s="15"/>
      <c r="D63" s="65"/>
      <c r="E63" s="231"/>
      <c r="F63" s="65"/>
      <c r="G63" s="6"/>
      <c r="H63" s="229" t="e">
        <f t="shared" si="0"/>
        <v>#DIV/0!</v>
      </c>
      <c r="I63" s="230"/>
      <c r="J63" s="65"/>
      <c r="K63" s="228"/>
    </row>
    <row r="64" spans="1:11" ht="32.450000000000003" hidden="1" customHeight="1">
      <c r="A64" s="65" t="s">
        <v>90</v>
      </c>
      <c r="B64" s="15" t="s">
        <v>95</v>
      </c>
      <c r="C64" s="15"/>
      <c r="D64" s="65"/>
      <c r="E64" s="231"/>
      <c r="F64" s="65"/>
      <c r="G64" s="6"/>
      <c r="H64" s="229" t="e">
        <f t="shared" si="0"/>
        <v>#DIV/0!</v>
      </c>
      <c r="I64" s="230"/>
      <c r="J64" s="65"/>
      <c r="K64" s="228"/>
    </row>
    <row r="65" spans="1:11" ht="32.450000000000003" hidden="1" customHeight="1">
      <c r="A65" s="65" t="s">
        <v>92</v>
      </c>
      <c r="B65" s="15" t="s">
        <v>96</v>
      </c>
      <c r="C65" s="15"/>
      <c r="D65" s="65"/>
      <c r="E65" s="231"/>
      <c r="F65" s="65"/>
      <c r="G65" s="6"/>
      <c r="H65" s="229" t="e">
        <f t="shared" si="0"/>
        <v>#DIV/0!</v>
      </c>
      <c r="I65" s="230"/>
      <c r="J65" s="65"/>
      <c r="K65" s="228"/>
    </row>
    <row r="66" spans="1:11" ht="32.450000000000003" hidden="1" customHeight="1">
      <c r="A66" s="65" t="s">
        <v>94</v>
      </c>
      <c r="B66" s="15" t="s">
        <v>98</v>
      </c>
      <c r="C66" s="15"/>
      <c r="D66" s="65"/>
      <c r="E66" s="231"/>
      <c r="F66" s="65"/>
      <c r="G66" s="6"/>
      <c r="H66" s="229" t="e">
        <f t="shared" si="0"/>
        <v>#DIV/0!</v>
      </c>
      <c r="I66" s="230"/>
      <c r="J66" s="65"/>
      <c r="K66" s="228"/>
    </row>
    <row r="67" spans="1:11" ht="35.450000000000003" hidden="1" customHeight="1">
      <c r="A67" s="65" t="s">
        <v>254</v>
      </c>
      <c r="B67" s="15" t="s">
        <v>100</v>
      </c>
      <c r="C67" s="15"/>
      <c r="D67" s="65"/>
      <c r="E67" s="231"/>
      <c r="F67" s="65"/>
      <c r="G67" s="6"/>
      <c r="H67" s="229" t="e">
        <f t="shared" si="0"/>
        <v>#DIV/0!</v>
      </c>
      <c r="I67" s="230">
        <v>0</v>
      </c>
      <c r="J67" s="65">
        <v>0</v>
      </c>
      <c r="K67" s="228">
        <v>0</v>
      </c>
    </row>
    <row r="68" spans="1:11" ht="46.5" hidden="1" customHeight="1">
      <c r="A68" s="65" t="s">
        <v>77</v>
      </c>
      <c r="B68" s="5" t="s">
        <v>101</v>
      </c>
      <c r="C68" s="5"/>
      <c r="D68" s="6"/>
      <c r="E68" s="231"/>
      <c r="F68" s="65"/>
      <c r="G68" s="6"/>
      <c r="H68" s="229" t="e">
        <f t="shared" si="0"/>
        <v>#DIV/0!</v>
      </c>
      <c r="I68" s="230"/>
      <c r="J68" s="65"/>
      <c r="K68" s="228"/>
    </row>
    <row r="69" spans="1:11" ht="31.5">
      <c r="A69" s="65" t="s">
        <v>102</v>
      </c>
      <c r="B69" s="5" t="s">
        <v>103</v>
      </c>
      <c r="C69" s="5"/>
      <c r="D69" s="6"/>
      <c r="E69" s="231"/>
      <c r="F69" s="65"/>
      <c r="G69" s="6"/>
      <c r="H69" s="229" t="e">
        <f t="shared" si="0"/>
        <v>#DIV/0!</v>
      </c>
      <c r="I69" s="230"/>
      <c r="J69" s="65"/>
      <c r="K69" s="228"/>
    </row>
    <row r="70" spans="1:11" ht="31.5" hidden="1">
      <c r="A70" s="65" t="s">
        <v>104</v>
      </c>
      <c r="B70" s="5" t="s">
        <v>105</v>
      </c>
      <c r="C70" s="5"/>
      <c r="D70" s="65"/>
      <c r="E70" s="231"/>
      <c r="F70" s="65"/>
      <c r="G70" s="6"/>
      <c r="H70" s="229" t="e">
        <f t="shared" si="0"/>
        <v>#DIV/0!</v>
      </c>
      <c r="I70" s="230"/>
      <c r="J70" s="65"/>
      <c r="K70" s="228"/>
    </row>
    <row r="71" spans="1:11" s="9" customFormat="1" ht="15.75" hidden="1">
      <c r="A71" s="65" t="s">
        <v>106</v>
      </c>
      <c r="B71" s="5" t="s">
        <v>107</v>
      </c>
      <c r="C71" s="5"/>
      <c r="D71" s="65"/>
      <c r="E71" s="231"/>
      <c r="F71" s="65"/>
      <c r="G71" s="6"/>
      <c r="H71" s="229" t="e">
        <f t="shared" si="0"/>
        <v>#DIV/0!</v>
      </c>
      <c r="I71" s="234"/>
      <c r="J71" s="66"/>
      <c r="K71" s="235"/>
    </row>
    <row r="72" spans="1:11" ht="15.75" hidden="1">
      <c r="A72" s="65" t="s">
        <v>108</v>
      </c>
      <c r="B72" s="5" t="s">
        <v>80</v>
      </c>
      <c r="C72" s="5"/>
      <c r="D72" s="65"/>
      <c r="E72" s="231"/>
      <c r="F72" s="65"/>
      <c r="G72" s="6"/>
      <c r="H72" s="229" t="e">
        <f t="shared" si="0"/>
        <v>#DIV/0!</v>
      </c>
      <c r="I72" s="230"/>
      <c r="J72" s="65"/>
      <c r="K72" s="228"/>
    </row>
    <row r="73" spans="1:11" ht="30.6" hidden="1" customHeight="1">
      <c r="A73" s="65" t="s">
        <v>109</v>
      </c>
      <c r="B73" s="15" t="s">
        <v>38</v>
      </c>
      <c r="C73" s="15"/>
      <c r="D73" s="65"/>
      <c r="E73" s="231"/>
      <c r="F73" s="65"/>
      <c r="G73" s="6"/>
      <c r="H73" s="229" t="e">
        <f t="shared" si="0"/>
        <v>#DIV/0!</v>
      </c>
      <c r="I73" s="230"/>
      <c r="J73" s="65"/>
      <c r="K73" s="228"/>
    </row>
    <row r="74" spans="1:11" ht="22.15" hidden="1" customHeight="1">
      <c r="A74" s="65" t="s">
        <v>110</v>
      </c>
      <c r="B74" s="15" t="s">
        <v>111</v>
      </c>
      <c r="C74" s="15"/>
      <c r="D74" s="65"/>
      <c r="E74" s="231"/>
      <c r="F74" s="65"/>
      <c r="G74" s="6"/>
      <c r="H74" s="229" t="e">
        <f t="shared" si="0"/>
        <v>#DIV/0!</v>
      </c>
      <c r="I74" s="230">
        <f>ROUND(D75/16*4,2)-64.54</f>
        <v>-64.540000000000006</v>
      </c>
      <c r="J74" s="65">
        <f>96.81-96.81</f>
        <v>0</v>
      </c>
      <c r="K74" s="228">
        <v>0</v>
      </c>
    </row>
    <row r="75" spans="1:11" ht="36.6" customHeight="1">
      <c r="A75" s="65" t="s">
        <v>112</v>
      </c>
      <c r="B75" s="5" t="s">
        <v>113</v>
      </c>
      <c r="C75" s="5"/>
      <c r="D75" s="65"/>
      <c r="E75" s="231"/>
      <c r="F75" s="65"/>
      <c r="G75" s="6"/>
      <c r="H75" s="229" t="e">
        <f t="shared" ref="H75:H93" si="1">G75/D75</f>
        <v>#DIV/0!</v>
      </c>
      <c r="I75" s="230"/>
      <c r="J75" s="65"/>
      <c r="K75" s="228"/>
    </row>
    <row r="76" spans="1:11" ht="31.5">
      <c r="A76" s="65" t="s">
        <v>229</v>
      </c>
      <c r="B76" s="5" t="s">
        <v>114</v>
      </c>
      <c r="C76" s="5"/>
      <c r="D76" s="6"/>
      <c r="E76" s="231"/>
      <c r="F76" s="65"/>
      <c r="G76" s="6"/>
      <c r="H76" s="229" t="e">
        <f t="shared" si="1"/>
        <v>#DIV/0!</v>
      </c>
      <c r="I76" s="230"/>
      <c r="J76" s="65"/>
      <c r="K76" s="228"/>
    </row>
    <row r="77" spans="1:11" ht="15.75" hidden="1">
      <c r="A77" s="65" t="s">
        <v>238</v>
      </c>
      <c r="B77" s="5" t="s">
        <v>115</v>
      </c>
      <c r="C77" s="5"/>
      <c r="D77" s="65"/>
      <c r="E77" s="231"/>
      <c r="F77" s="65"/>
      <c r="G77" s="6"/>
      <c r="H77" s="229" t="e">
        <f t="shared" si="1"/>
        <v>#DIV/0!</v>
      </c>
      <c r="I77" s="230"/>
      <c r="J77" s="65"/>
      <c r="K77" s="228"/>
    </row>
    <row r="78" spans="1:11" ht="15.75" hidden="1">
      <c r="A78" s="65" t="s">
        <v>116</v>
      </c>
      <c r="B78" s="5" t="s">
        <v>117</v>
      </c>
      <c r="C78" s="5"/>
      <c r="D78" s="65"/>
      <c r="E78" s="231"/>
      <c r="F78" s="65"/>
      <c r="G78" s="6"/>
      <c r="H78" s="229" t="e">
        <f t="shared" si="1"/>
        <v>#DIV/0!</v>
      </c>
      <c r="I78" s="230"/>
      <c r="J78" s="65"/>
      <c r="K78" s="228"/>
    </row>
    <row r="79" spans="1:11" ht="34.9" hidden="1" customHeight="1">
      <c r="A79" s="65" t="s">
        <v>118</v>
      </c>
      <c r="B79" s="21" t="s">
        <v>119</v>
      </c>
      <c r="C79" s="21"/>
      <c r="D79" s="65"/>
      <c r="E79" s="231"/>
      <c r="F79" s="65"/>
      <c r="G79" s="6"/>
      <c r="H79" s="229" t="e">
        <f t="shared" si="1"/>
        <v>#DIV/0!</v>
      </c>
      <c r="I79" s="230">
        <f>I80+I81+I82</f>
        <v>-32.909999999999997</v>
      </c>
      <c r="J79" s="65">
        <f>J80+J81+J82</f>
        <v>0</v>
      </c>
      <c r="K79" s="228">
        <f>K80+K81+K82</f>
        <v>0</v>
      </c>
    </row>
    <row r="80" spans="1:11" ht="31.5" customHeight="1">
      <c r="A80" s="65" t="s">
        <v>120</v>
      </c>
      <c r="B80" s="5" t="s">
        <v>121</v>
      </c>
      <c r="C80" s="5"/>
      <c r="D80" s="65"/>
      <c r="E80" s="65"/>
      <c r="F80" s="65"/>
      <c r="G80" s="6"/>
      <c r="H80" s="229" t="e">
        <f t="shared" si="1"/>
        <v>#DIV/0!</v>
      </c>
      <c r="I80" s="230"/>
      <c r="J80" s="65"/>
      <c r="K80" s="228"/>
    </row>
    <row r="81" spans="1:11" ht="20.25" hidden="1" customHeight="1">
      <c r="A81" s="65" t="s">
        <v>122</v>
      </c>
      <c r="B81" s="69" t="s">
        <v>230</v>
      </c>
      <c r="C81" s="69"/>
      <c r="D81" s="6"/>
      <c r="E81" s="231"/>
      <c r="F81" s="65"/>
      <c r="G81" s="6"/>
      <c r="H81" s="229" t="e">
        <f t="shared" si="1"/>
        <v>#DIV/0!</v>
      </c>
      <c r="I81" s="230"/>
      <c r="J81" s="65"/>
      <c r="K81" s="228"/>
    </row>
    <row r="82" spans="1:11" ht="18.600000000000001" hidden="1" customHeight="1">
      <c r="A82" s="65" t="s">
        <v>123</v>
      </c>
      <c r="B82" s="69" t="s">
        <v>124</v>
      </c>
      <c r="C82" s="69"/>
      <c r="D82" s="6"/>
      <c r="E82" s="231"/>
      <c r="F82" s="65"/>
      <c r="G82" s="6"/>
      <c r="H82" s="229" t="e">
        <f t="shared" si="1"/>
        <v>#DIV/0!</v>
      </c>
      <c r="I82" s="230">
        <f>ROUND(D83/16*4,2)-32.91</f>
        <v>-32.909999999999997</v>
      </c>
      <c r="J82" s="65">
        <f>49.37-49.37</f>
        <v>0</v>
      </c>
      <c r="K82" s="228"/>
    </row>
    <row r="83" spans="1:11" s="19" customFormat="1" ht="15.75" hidden="1">
      <c r="A83" s="68" t="s">
        <v>122</v>
      </c>
      <c r="B83" s="70" t="s">
        <v>126</v>
      </c>
      <c r="C83" s="70"/>
      <c r="D83" s="6"/>
      <c r="E83" s="231"/>
      <c r="F83" s="65"/>
      <c r="G83" s="6"/>
      <c r="H83" s="229" t="e">
        <f t="shared" si="1"/>
        <v>#DIV/0!</v>
      </c>
      <c r="I83" s="243" t="e">
        <f>I9+I42+I54+I68+I74+I75+I79</f>
        <v>#REF!</v>
      </c>
      <c r="J83" s="4" t="e">
        <f>J9+J42+J54+J68+J74+J75+J79</f>
        <v>#REF!</v>
      </c>
      <c r="K83" s="75" t="e">
        <f>K9+K42+K54+K68+K74+K75+K79</f>
        <v>#REF!</v>
      </c>
    </row>
    <row r="84" spans="1:11" s="19" customFormat="1" ht="15.75">
      <c r="A84" s="65"/>
      <c r="B84" s="5" t="s">
        <v>127</v>
      </c>
      <c r="C84" s="5"/>
      <c r="D84" s="6"/>
      <c r="E84" s="6"/>
      <c r="F84" s="6"/>
      <c r="G84" s="6"/>
      <c r="H84" s="229" t="e">
        <f t="shared" si="1"/>
        <v>#DIV/0!</v>
      </c>
      <c r="I84" s="243" t="e">
        <f>I85/I83*100</f>
        <v>#REF!</v>
      </c>
      <c r="J84" s="4" t="e">
        <f>J85/J83*100</f>
        <v>#REF!</v>
      </c>
      <c r="K84" s="75" t="e">
        <f>K85/K83*100</f>
        <v>#REF!</v>
      </c>
    </row>
    <row r="85" spans="1:11" ht="15.75">
      <c r="A85" s="65">
        <v>8</v>
      </c>
      <c r="B85" s="5" t="s">
        <v>128</v>
      </c>
      <c r="C85" s="5"/>
      <c r="D85" s="6"/>
      <c r="E85" s="6"/>
      <c r="F85" s="6"/>
      <c r="G85" s="6"/>
      <c r="H85" s="229" t="e">
        <f t="shared" si="1"/>
        <v>#DIV/0!</v>
      </c>
      <c r="I85" s="230">
        <f>I86+I87+I88+I89+I90</f>
        <v>3.7199999999999998</v>
      </c>
      <c r="J85" s="65">
        <f>J86+J87+J88+J89+J90</f>
        <v>6.1099999999999994</v>
      </c>
      <c r="K85" s="228">
        <f>K86+K87+K88+K89+K90</f>
        <v>6.1099999999999994</v>
      </c>
    </row>
    <row r="86" spans="1:11" ht="15.75">
      <c r="A86" s="65">
        <v>9</v>
      </c>
      <c r="B86" s="5" t="s">
        <v>129</v>
      </c>
      <c r="C86" s="5"/>
      <c r="D86" s="6"/>
      <c r="E86" s="65"/>
      <c r="F86" s="65"/>
      <c r="G86" s="65"/>
      <c r="H86" s="229" t="e">
        <f t="shared" si="1"/>
        <v>#DIV/0!</v>
      </c>
      <c r="I86" s="230"/>
      <c r="J86" s="65"/>
      <c r="K86" s="228"/>
    </row>
    <row r="87" spans="1:11" ht="63" hidden="1">
      <c r="A87" s="65" t="s">
        <v>191</v>
      </c>
      <c r="B87" s="5" t="s">
        <v>130</v>
      </c>
      <c r="C87" s="5"/>
      <c r="D87" s="6"/>
      <c r="E87" s="6"/>
      <c r="F87" s="6"/>
      <c r="G87" s="6"/>
      <c r="H87" s="229" t="e">
        <f t="shared" si="1"/>
        <v>#DIV/0!</v>
      </c>
      <c r="I87" s="230"/>
      <c r="J87" s="65"/>
      <c r="K87" s="228"/>
    </row>
    <row r="88" spans="1:11" ht="30" hidden="1" customHeight="1">
      <c r="A88" s="68" t="s">
        <v>192</v>
      </c>
      <c r="B88" s="70" t="s">
        <v>131</v>
      </c>
      <c r="C88" s="70"/>
      <c r="D88" s="6"/>
      <c r="E88" s="6"/>
      <c r="F88" s="6"/>
      <c r="G88" s="6"/>
      <c r="H88" s="229" t="e">
        <f t="shared" si="1"/>
        <v>#DIV/0!</v>
      </c>
      <c r="I88" s="230">
        <v>3</v>
      </c>
      <c r="J88" s="65">
        <v>4.93</v>
      </c>
      <c r="K88" s="228">
        <v>4.93</v>
      </c>
    </row>
    <row r="89" spans="1:11" ht="15.75" hidden="1">
      <c r="A89" s="65" t="s">
        <v>193</v>
      </c>
      <c r="B89" s="70" t="s">
        <v>132</v>
      </c>
      <c r="C89" s="70"/>
      <c r="D89" s="65"/>
      <c r="E89" s="231"/>
      <c r="F89" s="65"/>
      <c r="G89" s="65"/>
      <c r="H89" s="229" t="e">
        <f t="shared" si="1"/>
        <v>#DIV/0!</v>
      </c>
      <c r="I89" s="230"/>
      <c r="J89" s="65"/>
      <c r="K89" s="228"/>
    </row>
    <row r="90" spans="1:11" ht="15.75" hidden="1">
      <c r="A90" s="65" t="s">
        <v>194</v>
      </c>
      <c r="B90" s="70" t="s">
        <v>133</v>
      </c>
      <c r="C90" s="70"/>
      <c r="D90" s="65"/>
      <c r="E90" s="231"/>
      <c r="F90" s="65"/>
      <c r="G90" s="65"/>
      <c r="H90" s="229" t="e">
        <f t="shared" si="1"/>
        <v>#DIV/0!</v>
      </c>
      <c r="I90" s="230">
        <f>I91</f>
        <v>0.72</v>
      </c>
      <c r="J90" s="65">
        <f>J91</f>
        <v>1.18</v>
      </c>
      <c r="K90" s="228">
        <f>K91</f>
        <v>1.18</v>
      </c>
    </row>
    <row r="91" spans="1:11" ht="15.75" hidden="1">
      <c r="A91" s="244" t="s">
        <v>195</v>
      </c>
      <c r="B91" s="70" t="s">
        <v>231</v>
      </c>
      <c r="C91" s="70"/>
      <c r="D91" s="65"/>
      <c r="E91" s="65"/>
      <c r="F91" s="65"/>
      <c r="G91" s="65"/>
      <c r="H91" s="229" t="e">
        <f t="shared" si="1"/>
        <v>#DIV/0!</v>
      </c>
      <c r="I91" s="230">
        <f>ROUND(I88*0.24,2)</f>
        <v>0.72</v>
      </c>
      <c r="J91" s="65">
        <f>ROUND(J88*0.24,2)</f>
        <v>1.18</v>
      </c>
      <c r="K91" s="228">
        <f>ROUND(K88*0.24,2)</f>
        <v>1.18</v>
      </c>
    </row>
    <row r="92" spans="1:11" s="19" customFormat="1" ht="15.75" hidden="1">
      <c r="A92" s="65" t="s">
        <v>232</v>
      </c>
      <c r="B92" s="70" t="s">
        <v>233</v>
      </c>
      <c r="C92" s="70"/>
      <c r="D92" s="65"/>
      <c r="E92" s="231"/>
      <c r="F92" s="65"/>
      <c r="G92" s="6"/>
      <c r="H92" s="229" t="e">
        <f t="shared" si="1"/>
        <v>#DIV/0!</v>
      </c>
      <c r="I92" s="243" t="e">
        <f>I83+I85</f>
        <v>#REF!</v>
      </c>
      <c r="J92" s="4" t="e">
        <f>J83+J85</f>
        <v>#REF!</v>
      </c>
      <c r="K92" s="75" t="e">
        <f>K83+K85</f>
        <v>#REF!</v>
      </c>
    </row>
    <row r="93" spans="1:11" s="19" customFormat="1" ht="20.45" customHeight="1">
      <c r="A93" s="65">
        <v>10</v>
      </c>
      <c r="B93" s="5" t="s">
        <v>135</v>
      </c>
      <c r="C93" s="5"/>
      <c r="D93" s="6"/>
      <c r="E93" s="6"/>
      <c r="F93" s="6"/>
      <c r="G93" s="6"/>
      <c r="H93" s="229" t="e">
        <f t="shared" si="1"/>
        <v>#DIV/0!</v>
      </c>
      <c r="I93" s="245">
        <v>124.86</v>
      </c>
      <c r="J93" s="67">
        <v>187.27</v>
      </c>
      <c r="K93" s="246">
        <v>187.27</v>
      </c>
    </row>
    <row r="94" spans="1:11" ht="31.5" hidden="1">
      <c r="A94" s="247">
        <v>11</v>
      </c>
      <c r="B94" s="24" t="s">
        <v>136</v>
      </c>
      <c r="C94" s="24"/>
      <c r="D94" s="67">
        <v>499.4</v>
      </c>
      <c r="E94" s="248"/>
      <c r="F94" s="67"/>
      <c r="G94" s="6"/>
      <c r="H94" s="6" t="e">
        <f>D95-#REF!</f>
        <v>#REF!</v>
      </c>
      <c r="I94" s="227" t="e">
        <f>ROUND(I92/I93,2)</f>
        <v>#REF!</v>
      </c>
      <c r="J94" s="6" t="e">
        <f>ROUND(J92/J93,2)</f>
        <v>#REF!</v>
      </c>
      <c r="K94" s="74" t="e">
        <f>ROUND(K92/K93,2)</f>
        <v>#REF!</v>
      </c>
    </row>
    <row r="95" spans="1:11" ht="15.75" hidden="1">
      <c r="A95" s="249">
        <v>12</v>
      </c>
      <c r="B95" s="24" t="s">
        <v>137</v>
      </c>
      <c r="C95" s="24"/>
      <c r="D95" s="65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27" t="e">
        <f>ROUND(I94*1.18,2)</f>
        <v>#REF!</v>
      </c>
      <c r="J95" s="6" t="e">
        <f>ROUND(J94*1.18,2)</f>
        <v>#REF!</v>
      </c>
      <c r="K95" s="74" t="e">
        <f>ROUND(K94*1.18,2)</f>
        <v>#REF!</v>
      </c>
    </row>
    <row r="96" spans="1:11" ht="15.75" hidden="1">
      <c r="A96" s="249"/>
      <c r="B96" s="250" t="s">
        <v>138</v>
      </c>
      <c r="C96" s="250"/>
      <c r="D96" s="65">
        <f>ROUND(D95*1.18,2)</f>
        <v>0</v>
      </c>
      <c r="E96" s="6" t="e">
        <f>ROUND(E95*1.18,2)</f>
        <v>#DIV/0!</v>
      </c>
      <c r="F96" s="6" t="e">
        <f>ROUND(F95*1.18,2)</f>
        <v>#DIV/0!</v>
      </c>
      <c r="G96" s="251"/>
      <c r="H96" s="6" t="e">
        <f>D97-#REF!</f>
        <v>#REF!</v>
      </c>
      <c r="I96" s="252"/>
      <c r="J96" s="251"/>
      <c r="K96" s="253"/>
    </row>
    <row r="97" spans="1:11" ht="32.25" hidden="1" thickBot="1">
      <c r="A97" s="254"/>
      <c r="B97" s="255" t="s">
        <v>428</v>
      </c>
      <c r="C97" s="255"/>
      <c r="D97" s="65">
        <v>31.51</v>
      </c>
      <c r="E97" s="256"/>
      <c r="F97" s="251"/>
      <c r="G97" s="57"/>
      <c r="H97" s="6" t="e">
        <f>D98-#REF!</f>
        <v>#REF!</v>
      </c>
      <c r="I97" s="257" t="e">
        <f>I95/D97*100</f>
        <v>#REF!</v>
      </c>
      <c r="J97" s="258" t="e">
        <f>J95/I95*100</f>
        <v>#REF!</v>
      </c>
      <c r="K97" s="259" t="e">
        <f>K95/J95*100</f>
        <v>#REF!</v>
      </c>
    </row>
    <row r="98" spans="1:11" ht="16.5" hidden="1" thickBot="1">
      <c r="B98" s="260" t="s">
        <v>139</v>
      </c>
      <c r="C98" s="255"/>
      <c r="D98" s="65"/>
      <c r="E98" s="261"/>
      <c r="F98" s="57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>
      <c r="E106" s="25">
        <f>E93-E104</f>
        <v>0</v>
      </c>
      <c r="F106" s="25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honeticPr fontId="3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262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</cols>
  <sheetData>
    <row r="1" spans="1:17" ht="36" customHeight="1">
      <c r="A1" s="213"/>
      <c r="B1" s="361" t="s">
        <v>429</v>
      </c>
      <c r="C1" s="361"/>
      <c r="D1" s="361"/>
      <c r="E1" s="361"/>
      <c r="F1" s="361"/>
      <c r="G1" s="361"/>
      <c r="H1" s="361"/>
      <c r="I1" s="361"/>
      <c r="Q1" s="176" t="s">
        <v>403</v>
      </c>
    </row>
    <row r="2" spans="1:17" ht="18.75">
      <c r="A2" s="213"/>
      <c r="B2" s="213"/>
      <c r="C2" s="213"/>
      <c r="D2" s="213"/>
      <c r="E2" s="216"/>
      <c r="F2" s="213"/>
    </row>
    <row r="3" spans="1:17" ht="18.75">
      <c r="A3" s="389" t="s">
        <v>255</v>
      </c>
      <c r="B3" s="389"/>
      <c r="C3" s="389"/>
      <c r="D3" s="389"/>
      <c r="E3" s="389"/>
      <c r="F3" s="389"/>
      <c r="G3" s="389"/>
      <c r="H3" s="389"/>
      <c r="I3" s="389"/>
    </row>
    <row r="4" spans="1:17" ht="18.75">
      <c r="A4" s="389" t="s">
        <v>416</v>
      </c>
      <c r="B4" s="389"/>
      <c r="C4" s="389"/>
      <c r="D4" s="389"/>
      <c r="E4" s="389"/>
      <c r="F4" s="389"/>
      <c r="G4" s="389"/>
      <c r="H4" s="389"/>
      <c r="I4" s="389"/>
    </row>
    <row r="5" spans="1:17" ht="18.75">
      <c r="A5" s="389" t="s">
        <v>417</v>
      </c>
      <c r="B5" s="389"/>
      <c r="C5" s="389"/>
      <c r="D5" s="389"/>
      <c r="E5" s="389"/>
      <c r="F5" s="389"/>
      <c r="G5" s="389"/>
      <c r="H5" s="389"/>
      <c r="I5" s="389"/>
    </row>
    <row r="6" spans="1:17" ht="15.75">
      <c r="A6" s="263"/>
      <c r="B6" s="263"/>
      <c r="C6" s="263"/>
      <c r="D6" s="263"/>
      <c r="E6" s="264"/>
      <c r="F6" s="263"/>
      <c r="G6" s="263"/>
      <c r="H6" s="263"/>
      <c r="I6" s="217" t="s">
        <v>219</v>
      </c>
    </row>
    <row r="7" spans="1:17" ht="21" customHeight="1">
      <c r="A7" s="396"/>
      <c r="B7" s="396" t="s">
        <v>1</v>
      </c>
      <c r="C7" s="396" t="s">
        <v>256</v>
      </c>
      <c r="D7" s="396" t="s">
        <v>430</v>
      </c>
      <c r="E7" s="396" t="s">
        <v>431</v>
      </c>
      <c r="F7" s="396"/>
      <c r="G7" s="396" t="s">
        <v>432</v>
      </c>
      <c r="H7" s="396"/>
      <c r="I7" s="396"/>
    </row>
    <row r="8" spans="1:17" ht="84.6" customHeight="1">
      <c r="A8" s="396"/>
      <c r="B8" s="396"/>
      <c r="C8" s="396"/>
      <c r="D8" s="396"/>
      <c r="E8" s="231" t="s">
        <v>223</v>
      </c>
      <c r="F8" s="65" t="s">
        <v>224</v>
      </c>
      <c r="G8" s="71" t="s">
        <v>423</v>
      </c>
      <c r="H8" s="71" t="s">
        <v>424</v>
      </c>
      <c r="I8" s="71" t="s">
        <v>425</v>
      </c>
    </row>
    <row r="9" spans="1:17" ht="16.899999999999999" customHeight="1">
      <c r="A9" s="65">
        <v>1</v>
      </c>
      <c r="B9" s="65">
        <v>2</v>
      </c>
      <c r="C9" s="65">
        <v>3</v>
      </c>
      <c r="D9" s="65">
        <v>4</v>
      </c>
      <c r="E9" s="231"/>
      <c r="F9" s="65"/>
      <c r="G9" s="65">
        <v>5</v>
      </c>
      <c r="H9" s="65">
        <v>6</v>
      </c>
      <c r="I9" s="65">
        <v>7</v>
      </c>
    </row>
    <row r="10" spans="1:17" s="1" customFormat="1" ht="17.45" customHeight="1">
      <c r="A10" s="65">
        <v>1</v>
      </c>
      <c r="B10" s="5" t="s">
        <v>5</v>
      </c>
      <c r="C10" s="6">
        <v>9999.0650000000005</v>
      </c>
      <c r="D10" s="6">
        <v>11592.77</v>
      </c>
      <c r="E10" s="65">
        <v>6710.6499999999987</v>
      </c>
      <c r="F10" s="65">
        <v>15839.28</v>
      </c>
      <c r="G10" s="6">
        <v>2815.79</v>
      </c>
      <c r="H10" s="65">
        <v>4222.5999999999995</v>
      </c>
      <c r="I10" s="65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65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>
      <c r="A12" s="65" t="s">
        <v>8</v>
      </c>
      <c r="B12" s="5" t="s">
        <v>9</v>
      </c>
      <c r="C12" s="6">
        <v>8864.875</v>
      </c>
      <c r="D12" s="6">
        <v>10070.81</v>
      </c>
      <c r="E12" s="231">
        <v>448.32</v>
      </c>
      <c r="F12" s="65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65" t="s">
        <v>10</v>
      </c>
      <c r="B13" s="5" t="s">
        <v>11</v>
      </c>
      <c r="C13" s="6">
        <v>1177</v>
      </c>
      <c r="D13" s="6">
        <v>2289.54</v>
      </c>
      <c r="E13" s="232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65" t="s">
        <v>12</v>
      </c>
      <c r="B14" s="5" t="s">
        <v>252</v>
      </c>
      <c r="C14" s="233">
        <v>1177</v>
      </c>
      <c r="D14" s="6">
        <v>2289.54</v>
      </c>
      <c r="E14" s="231">
        <v>329.14</v>
      </c>
      <c r="F14" s="65">
        <v>7370.8700000000008</v>
      </c>
      <c r="G14" s="65">
        <v>548.03</v>
      </c>
      <c r="H14" s="65">
        <v>821.28</v>
      </c>
      <c r="I14" s="65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>
      <c r="A15" s="66"/>
      <c r="B15" s="7" t="s">
        <v>14</v>
      </c>
      <c r="C15" s="65">
        <v>676.43678160919546</v>
      </c>
      <c r="D15" s="66">
        <v>1179.1400000000001</v>
      </c>
      <c r="E15" s="265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>
      <c r="A16" s="66"/>
      <c r="B16" s="7" t="s">
        <v>15</v>
      </c>
      <c r="C16" s="66">
        <v>1.7399999999999998</v>
      </c>
      <c r="D16" s="73">
        <v>1.9417032752684158</v>
      </c>
      <c r="E16" s="265"/>
      <c r="F16" s="66"/>
      <c r="G16" s="66">
        <v>1.8809999999999998</v>
      </c>
      <c r="H16" s="66">
        <v>1.8809999999999998</v>
      </c>
      <c r="I16" s="73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>
      <c r="A17" s="65" t="s">
        <v>16</v>
      </c>
      <c r="B17" s="5" t="s">
        <v>426</v>
      </c>
      <c r="C17" s="6">
        <v>0</v>
      </c>
      <c r="D17" s="65">
        <v>0</v>
      </c>
      <c r="E17" s="231">
        <v>119.18</v>
      </c>
      <c r="F17" s="65">
        <v>485.92999999999995</v>
      </c>
      <c r="G17" s="65"/>
      <c r="H17" s="65"/>
      <c r="I17" s="65"/>
      <c r="K17">
        <v>0</v>
      </c>
      <c r="L17">
        <v>0</v>
      </c>
    </row>
    <row r="18" spans="1:15" s="9" customFormat="1" ht="16.149999999999999" hidden="1" customHeight="1">
      <c r="A18" s="66"/>
      <c r="B18" s="7" t="s">
        <v>14</v>
      </c>
      <c r="C18" s="66">
        <v>0</v>
      </c>
      <c r="D18" s="66"/>
      <c r="E18" s="265"/>
      <c r="F18" s="66"/>
      <c r="G18" s="66"/>
      <c r="H18" s="66"/>
      <c r="I18" s="66"/>
      <c r="K18" s="9">
        <v>0</v>
      </c>
    </row>
    <row r="19" spans="1:15" s="9" customFormat="1" ht="18.600000000000001" hidden="1" customHeight="1">
      <c r="A19" s="66"/>
      <c r="B19" s="7" t="s">
        <v>15</v>
      </c>
      <c r="C19" s="66">
        <v>0</v>
      </c>
      <c r="D19" s="266"/>
      <c r="E19" s="265"/>
      <c r="F19" s="66"/>
      <c r="G19" s="66"/>
      <c r="H19" s="66"/>
      <c r="I19" s="66"/>
      <c r="K19" s="9">
        <v>0</v>
      </c>
    </row>
    <row r="20" spans="1:15" ht="19.899999999999999" customHeight="1">
      <c r="A20" s="65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>
      <c r="A21" s="65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>
      <c r="A22" s="65" t="s">
        <v>21</v>
      </c>
      <c r="B22" s="5" t="s">
        <v>427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>
      <c r="A23" s="66" t="s">
        <v>23</v>
      </c>
      <c r="B23" s="7" t="s">
        <v>24</v>
      </c>
      <c r="C23" s="66">
        <v>539.5</v>
      </c>
      <c r="D23" s="66">
        <v>499.4</v>
      </c>
      <c r="E23" s="265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>
      <c r="A24" s="66" t="s">
        <v>25</v>
      </c>
      <c r="B24" s="7" t="s">
        <v>26</v>
      </c>
      <c r="C24" s="66">
        <v>14.25</v>
      </c>
      <c r="D24" s="66"/>
      <c r="E24" s="265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>
      <c r="A25" s="65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>
      <c r="A26" s="65" t="s">
        <v>29</v>
      </c>
      <c r="B26" s="5" t="s">
        <v>30</v>
      </c>
      <c r="C26" s="65">
        <v>493.02</v>
      </c>
      <c r="D26" s="65">
        <v>916.42</v>
      </c>
      <c r="E26" s="231">
        <v>4302.3999999999996</v>
      </c>
      <c r="F26" s="65">
        <v>4056.64</v>
      </c>
      <c r="G26" s="65">
        <v>219.71</v>
      </c>
      <c r="H26" s="65">
        <v>329.57</v>
      </c>
      <c r="I26" s="65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>
      <c r="A27" s="66" t="s">
        <v>31</v>
      </c>
      <c r="B27" s="7" t="s">
        <v>32</v>
      </c>
      <c r="C27" s="66">
        <v>2.4</v>
      </c>
      <c r="D27" s="66">
        <v>2.4</v>
      </c>
      <c r="E27" s="265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>
      <c r="A28" s="66" t="s">
        <v>225</v>
      </c>
      <c r="B28" s="7" t="s">
        <v>33</v>
      </c>
      <c r="C28" s="66"/>
      <c r="D28" s="66"/>
      <c r="E28" s="265"/>
      <c r="F28" s="66"/>
      <c r="G28" s="66"/>
      <c r="H28" s="66"/>
      <c r="I28" s="66"/>
    </row>
    <row r="29" spans="1:15" s="9" customFormat="1" ht="15.75" hidden="1">
      <c r="A29" s="66" t="s">
        <v>226</v>
      </c>
      <c r="B29" s="7" t="s">
        <v>34</v>
      </c>
      <c r="C29" s="66"/>
      <c r="D29" s="66"/>
      <c r="E29" s="265"/>
      <c r="F29" s="66"/>
      <c r="G29" s="66"/>
      <c r="H29" s="66"/>
      <c r="I29" s="66"/>
    </row>
    <row r="30" spans="1:15" s="111" customFormat="1" ht="31.5">
      <c r="A30" s="107" t="s">
        <v>227</v>
      </c>
      <c r="B30" s="108" t="s">
        <v>36</v>
      </c>
      <c r="C30" s="107">
        <v>17118.75</v>
      </c>
      <c r="D30" s="107">
        <v>23865.1</v>
      </c>
      <c r="E30" s="107" t="e">
        <v>#DIV/0!</v>
      </c>
      <c r="F30" s="107" t="e">
        <v>#DIV/0!</v>
      </c>
      <c r="G30" s="107">
        <v>22886.46</v>
      </c>
      <c r="H30" s="107">
        <v>22886.81</v>
      </c>
      <c r="I30" s="107">
        <v>25495.83</v>
      </c>
      <c r="K30" s="111">
        <v>37705.730000000003</v>
      </c>
      <c r="L30" s="111">
        <v>23865.1</v>
      </c>
      <c r="M30" s="111">
        <v>22886.46</v>
      </c>
      <c r="N30" s="111">
        <v>22886.81</v>
      </c>
      <c r="O30" s="111">
        <v>25495.83</v>
      </c>
    </row>
    <row r="31" spans="1:15" ht="15.75">
      <c r="A31" s="65" t="s">
        <v>37</v>
      </c>
      <c r="B31" s="5" t="s">
        <v>38</v>
      </c>
      <c r="C31" s="65">
        <v>150.37</v>
      </c>
      <c r="D31" s="65">
        <v>279.51</v>
      </c>
      <c r="E31" s="65">
        <v>1312.23</v>
      </c>
      <c r="F31" s="65">
        <v>1237.28</v>
      </c>
      <c r="G31" s="65">
        <v>67.010000000000005</v>
      </c>
      <c r="H31" s="65">
        <v>100.52</v>
      </c>
      <c r="I31" s="65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65" t="s">
        <v>228</v>
      </c>
      <c r="B32" s="5" t="s">
        <v>39</v>
      </c>
      <c r="C32" s="65">
        <v>30.5</v>
      </c>
      <c r="D32" s="65">
        <v>30.5</v>
      </c>
      <c r="E32" s="65">
        <v>30.5</v>
      </c>
      <c r="F32" s="65">
        <v>30.5</v>
      </c>
      <c r="G32" s="65">
        <v>30.5</v>
      </c>
      <c r="H32" s="65">
        <v>30.5</v>
      </c>
      <c r="I32" s="65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65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>
      <c r="A34" s="65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65" t="s">
        <v>257</v>
      </c>
      <c r="B35" s="5" t="s">
        <v>44</v>
      </c>
      <c r="C35" s="65">
        <v>185.19</v>
      </c>
      <c r="D35" s="65">
        <v>249.83</v>
      </c>
      <c r="E35" s="231">
        <v>496.32</v>
      </c>
      <c r="F35" s="65">
        <v>2060.1999999999998</v>
      </c>
      <c r="G35" s="65">
        <v>59.9</v>
      </c>
      <c r="H35" s="65">
        <v>89.84</v>
      </c>
      <c r="I35" s="65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65"/>
      <c r="B36" s="7" t="s">
        <v>32</v>
      </c>
      <c r="C36" s="65">
        <v>0.5</v>
      </c>
      <c r="D36" s="65">
        <v>0.5</v>
      </c>
      <c r="E36" s="231"/>
      <c r="F36" s="65"/>
      <c r="G36" s="65">
        <v>0.5</v>
      </c>
      <c r="H36" s="65">
        <v>0.5</v>
      </c>
      <c r="I36" s="65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65"/>
      <c r="B37" s="7" t="s">
        <v>34</v>
      </c>
      <c r="C37" s="65"/>
      <c r="D37" s="65"/>
      <c r="E37" s="231"/>
      <c r="F37" s="65"/>
      <c r="G37" s="65"/>
      <c r="H37" s="65"/>
      <c r="I37" s="65"/>
    </row>
    <row r="38" spans="1:15" s="81" customFormat="1" ht="30.75" customHeight="1">
      <c r="A38" s="71"/>
      <c r="B38" s="108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1">
        <v>54206.250000000007</v>
      </c>
      <c r="L38" s="81">
        <v>31228.75</v>
      </c>
      <c r="M38" s="81">
        <v>29950</v>
      </c>
      <c r="N38" s="81">
        <v>29946.666666666668</v>
      </c>
      <c r="O38" s="81">
        <v>33363.333333333336</v>
      </c>
    </row>
    <row r="39" spans="1:15" ht="19.149999999999999" customHeight="1">
      <c r="A39" s="65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65" t="s">
        <v>45</v>
      </c>
      <c r="B40" s="5" t="s">
        <v>46</v>
      </c>
      <c r="C40" s="65">
        <v>0</v>
      </c>
      <c r="D40" s="65"/>
      <c r="E40" s="231"/>
      <c r="F40" s="65"/>
      <c r="G40" s="65"/>
      <c r="H40" s="65"/>
      <c r="I40" s="65"/>
    </row>
    <row r="41" spans="1:15" ht="19.149999999999999" hidden="1" customHeight="1">
      <c r="A41" s="65" t="s">
        <v>47</v>
      </c>
      <c r="B41" s="5" t="s">
        <v>48</v>
      </c>
      <c r="C41" s="65">
        <v>0</v>
      </c>
      <c r="D41" s="65"/>
      <c r="E41" s="231"/>
      <c r="F41" s="65"/>
      <c r="G41" s="65"/>
      <c r="H41" s="65"/>
      <c r="I41" s="65"/>
    </row>
    <row r="42" spans="1:15" ht="52.9" hidden="1" customHeight="1">
      <c r="A42" s="65" t="s">
        <v>49</v>
      </c>
      <c r="B42" s="5" t="s">
        <v>50</v>
      </c>
      <c r="C42" s="65">
        <v>249.13</v>
      </c>
      <c r="D42" s="65"/>
      <c r="E42" s="231"/>
      <c r="F42" s="65"/>
      <c r="G42" s="65"/>
      <c r="H42" s="65"/>
      <c r="I42" s="65"/>
    </row>
    <row r="43" spans="1:15" ht="21" customHeight="1">
      <c r="A43" s="65" t="s">
        <v>51</v>
      </c>
      <c r="B43" s="5" t="s">
        <v>52</v>
      </c>
      <c r="C43" s="65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65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65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32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65" t="s">
        <v>57</v>
      </c>
      <c r="B46" s="5" t="s">
        <v>253</v>
      </c>
      <c r="C46" s="6"/>
      <c r="D46" s="6"/>
      <c r="E46" s="232">
        <v>4950.4399999999996</v>
      </c>
      <c r="F46" s="6">
        <v>161.04</v>
      </c>
      <c r="G46" s="6"/>
      <c r="H46" s="6"/>
      <c r="I46" s="6"/>
    </row>
    <row r="47" spans="1:15" ht="31.5" hidden="1">
      <c r="A47" s="65" t="s">
        <v>60</v>
      </c>
      <c r="B47" s="5" t="s">
        <v>61</v>
      </c>
      <c r="C47" s="6"/>
      <c r="D47" s="6"/>
      <c r="E47" s="232">
        <v>14304.9</v>
      </c>
      <c r="F47" s="6"/>
      <c r="G47" s="6"/>
      <c r="H47" s="6"/>
      <c r="I47" s="6"/>
    </row>
    <row r="48" spans="1:15" ht="31.5" hidden="1">
      <c r="A48" s="65" t="s">
        <v>62</v>
      </c>
      <c r="B48" s="5" t="s">
        <v>63</v>
      </c>
      <c r="C48" s="6">
        <v>0</v>
      </c>
      <c r="D48" s="6"/>
      <c r="E48" s="232"/>
      <c r="F48" s="6"/>
      <c r="G48" s="6"/>
      <c r="H48" s="6"/>
      <c r="I48" s="6"/>
    </row>
    <row r="49" spans="1:15" ht="15.75">
      <c r="A49" s="65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>
      <c r="A50" s="65" t="s">
        <v>66</v>
      </c>
      <c r="B50" s="5" t="s">
        <v>67</v>
      </c>
      <c r="C50" s="65">
        <v>911.7</v>
      </c>
      <c r="D50" s="65">
        <v>1643.7</v>
      </c>
      <c r="E50" s="231">
        <v>3985.22</v>
      </c>
      <c r="F50" s="65">
        <v>1140.92</v>
      </c>
      <c r="G50" s="65">
        <v>394.08</v>
      </c>
      <c r="H50" s="65">
        <v>591.11</v>
      </c>
      <c r="I50" s="65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>
      <c r="A52" s="66" t="s">
        <v>70</v>
      </c>
      <c r="B52" s="7" t="s">
        <v>34</v>
      </c>
      <c r="C52" s="66"/>
      <c r="D52" s="66"/>
      <c r="E52" s="265"/>
      <c r="F52" s="66"/>
      <c r="G52" s="66"/>
      <c r="H52" s="66"/>
      <c r="I52" s="66"/>
    </row>
    <row r="53" spans="1:15" s="111" customFormat="1" ht="31.5">
      <c r="A53" s="107" t="s">
        <v>71</v>
      </c>
      <c r="B53" s="108" t="s">
        <v>36</v>
      </c>
      <c r="C53" s="109">
        <v>17668.60465116279</v>
      </c>
      <c r="D53" s="109">
        <v>23890.988372093023</v>
      </c>
      <c r="E53" s="109">
        <v>57924.70930232558</v>
      </c>
      <c r="F53" s="109">
        <v>16583.139534883725</v>
      </c>
      <c r="G53" s="109">
        <v>22911.627906976744</v>
      </c>
      <c r="H53" s="109">
        <v>22911.240310077519</v>
      </c>
      <c r="I53" s="109">
        <v>25523.643410852714</v>
      </c>
      <c r="K53" s="111">
        <v>33949.273255813954</v>
      </c>
      <c r="L53" s="111">
        <v>23890.988372093023</v>
      </c>
      <c r="M53" s="111">
        <v>22911.627906976744</v>
      </c>
      <c r="N53" s="111">
        <v>22911.240310077519</v>
      </c>
      <c r="O53" s="111">
        <v>25523.643410852714</v>
      </c>
    </row>
    <row r="54" spans="1:15" ht="15.75">
      <c r="A54" s="68" t="s">
        <v>72</v>
      </c>
      <c r="B54" s="5" t="s">
        <v>38</v>
      </c>
      <c r="C54" s="65">
        <v>278.07</v>
      </c>
      <c r="D54" s="65">
        <v>501.33000000000004</v>
      </c>
      <c r="E54" s="65">
        <v>1215.49</v>
      </c>
      <c r="F54" s="65">
        <v>347.98</v>
      </c>
      <c r="G54" s="65">
        <v>120.19</v>
      </c>
      <c r="H54" s="65">
        <v>180.29</v>
      </c>
      <c r="I54" s="65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65" t="s">
        <v>73</v>
      </c>
      <c r="B55" s="5" t="s">
        <v>74</v>
      </c>
      <c r="C55" s="65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65" t="s">
        <v>75</v>
      </c>
      <c r="B56" s="5" t="s">
        <v>76</v>
      </c>
      <c r="C56" s="65"/>
      <c r="D56" s="6"/>
      <c r="E56" s="232"/>
      <c r="F56" s="6"/>
      <c r="G56" s="6"/>
      <c r="H56" s="6"/>
      <c r="I56" s="6"/>
    </row>
    <row r="57" spans="1:15" ht="31.5" hidden="1">
      <c r="A57" s="65" t="s">
        <v>77</v>
      </c>
      <c r="B57" s="5" t="s">
        <v>78</v>
      </c>
      <c r="C57" s="65"/>
      <c r="D57" s="6"/>
      <c r="E57" s="232">
        <v>1261</v>
      </c>
      <c r="F57" s="6"/>
      <c r="G57" s="6"/>
      <c r="H57" s="6"/>
      <c r="I57" s="6"/>
    </row>
    <row r="58" spans="1:15" s="9" customFormat="1" ht="15.75" hidden="1">
      <c r="A58" s="66" t="s">
        <v>79</v>
      </c>
      <c r="B58" s="7" t="s">
        <v>80</v>
      </c>
      <c r="C58" s="66"/>
      <c r="D58" s="8"/>
      <c r="E58" s="267"/>
      <c r="F58" s="8"/>
      <c r="G58" s="8"/>
      <c r="H58" s="8"/>
      <c r="I58" s="8"/>
    </row>
    <row r="59" spans="1:15" ht="15.75" hidden="1">
      <c r="A59" s="65" t="s">
        <v>81</v>
      </c>
      <c r="B59" s="5" t="s">
        <v>38</v>
      </c>
      <c r="C59" s="65"/>
      <c r="D59" s="6"/>
      <c r="E59" s="232">
        <v>383.3</v>
      </c>
      <c r="F59" s="6"/>
      <c r="G59" s="6"/>
      <c r="H59" s="6"/>
      <c r="I59" s="6"/>
    </row>
    <row r="60" spans="1:15" ht="31.5" hidden="1">
      <c r="A60" s="65" t="s">
        <v>82</v>
      </c>
      <c r="B60" s="5" t="s">
        <v>87</v>
      </c>
      <c r="C60" s="65"/>
      <c r="D60" s="6"/>
      <c r="E60" s="232"/>
      <c r="F60" s="6"/>
      <c r="G60" s="6"/>
      <c r="H60" s="6"/>
      <c r="I60" s="6"/>
    </row>
    <row r="61" spans="1:15" ht="15.75" hidden="1">
      <c r="A61" s="65" t="s">
        <v>85</v>
      </c>
      <c r="B61" s="5" t="s">
        <v>89</v>
      </c>
      <c r="C61" s="65"/>
      <c r="D61" s="6"/>
      <c r="E61" s="232"/>
      <c r="F61" s="6"/>
      <c r="G61" s="6"/>
      <c r="H61" s="6"/>
      <c r="I61" s="6"/>
    </row>
    <row r="62" spans="1:15" ht="31.5" customHeight="1">
      <c r="A62" s="65" t="s">
        <v>75</v>
      </c>
      <c r="B62" s="5" t="s">
        <v>91</v>
      </c>
      <c r="C62" s="65">
        <v>152.80000000000001</v>
      </c>
      <c r="D62" s="6">
        <f>G62+H62+I62</f>
        <v>192.08</v>
      </c>
      <c r="E62" s="232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65" t="s">
        <v>88</v>
      </c>
      <c r="B63" s="5" t="s">
        <v>93</v>
      </c>
      <c r="C63" s="65"/>
      <c r="D63" s="6"/>
      <c r="E63" s="232"/>
      <c r="F63" s="6"/>
      <c r="G63" s="6"/>
      <c r="H63" s="6"/>
      <c r="I63" s="6"/>
    </row>
    <row r="64" spans="1:15" ht="32.450000000000003" hidden="1" customHeight="1">
      <c r="A64" s="65" t="s">
        <v>90</v>
      </c>
      <c r="B64" s="5" t="s">
        <v>95</v>
      </c>
      <c r="C64" s="65"/>
      <c r="D64" s="6"/>
      <c r="E64" s="232"/>
      <c r="F64" s="6"/>
      <c r="G64" s="6"/>
      <c r="H64" s="6"/>
      <c r="I64" s="6"/>
    </row>
    <row r="65" spans="1:15" ht="32.450000000000003" hidden="1" customHeight="1">
      <c r="A65" s="65" t="s">
        <v>92</v>
      </c>
      <c r="B65" s="5" t="s">
        <v>96</v>
      </c>
      <c r="C65" s="65"/>
      <c r="D65" s="6"/>
      <c r="E65" s="232">
        <v>165.12</v>
      </c>
      <c r="F65" s="6">
        <v>94.92</v>
      </c>
      <c r="G65" s="6"/>
      <c r="H65" s="6"/>
      <c r="I65" s="6"/>
    </row>
    <row r="66" spans="1:15" ht="32.450000000000003" hidden="1" customHeight="1">
      <c r="A66" s="65" t="s">
        <v>94</v>
      </c>
      <c r="B66" s="5" t="s">
        <v>98</v>
      </c>
      <c r="C66" s="65"/>
      <c r="D66" s="6"/>
      <c r="E66" s="232"/>
      <c r="F66" s="6"/>
      <c r="G66" s="6"/>
      <c r="H66" s="6"/>
      <c r="I66" s="6"/>
    </row>
    <row r="67" spans="1:15" ht="32.450000000000003" hidden="1" customHeight="1">
      <c r="A67" s="65" t="s">
        <v>254</v>
      </c>
      <c r="B67" s="5" t="s">
        <v>100</v>
      </c>
      <c r="C67" s="65"/>
      <c r="D67" s="6"/>
      <c r="E67" s="232"/>
      <c r="F67" s="6"/>
      <c r="G67" s="6"/>
      <c r="H67" s="6"/>
      <c r="I67" s="6"/>
    </row>
    <row r="68" spans="1:15" ht="46.5" customHeight="1">
      <c r="A68" s="65" t="s">
        <v>77</v>
      </c>
      <c r="B68" s="5" t="s">
        <v>101</v>
      </c>
      <c r="C68" s="65">
        <v>35.85</v>
      </c>
      <c r="D68" s="6">
        <v>0</v>
      </c>
      <c r="E68" s="232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65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>
      <c r="A70" s="65" t="s">
        <v>104</v>
      </c>
      <c r="B70" s="5" t="s">
        <v>105</v>
      </c>
      <c r="C70" s="65"/>
      <c r="D70" s="6"/>
      <c r="E70" s="232"/>
      <c r="F70" s="6"/>
      <c r="G70" s="6"/>
      <c r="H70" s="6"/>
      <c r="I70" s="6"/>
    </row>
    <row r="71" spans="1:15" ht="31.5" hidden="1">
      <c r="A71" s="65" t="s">
        <v>106</v>
      </c>
      <c r="B71" s="5" t="s">
        <v>107</v>
      </c>
      <c r="C71" s="65"/>
      <c r="D71" s="6"/>
      <c r="E71" s="232"/>
      <c r="F71" s="6"/>
      <c r="G71" s="6"/>
      <c r="H71" s="6"/>
      <c r="I71" s="6"/>
    </row>
    <row r="72" spans="1:15" s="9" customFormat="1" ht="15.75" hidden="1">
      <c r="A72" s="66" t="s">
        <v>108</v>
      </c>
      <c r="B72" s="7" t="s">
        <v>80</v>
      </c>
      <c r="C72" s="66"/>
      <c r="D72" s="8"/>
      <c r="E72" s="267"/>
      <c r="F72" s="8"/>
      <c r="G72" s="8"/>
      <c r="H72" s="8"/>
      <c r="I72" s="8"/>
    </row>
    <row r="73" spans="1:15" ht="15.75" hidden="1">
      <c r="A73" s="65" t="s">
        <v>109</v>
      </c>
      <c r="B73" s="5" t="s">
        <v>38</v>
      </c>
      <c r="C73" s="65"/>
      <c r="D73" s="6"/>
      <c r="E73" s="232"/>
      <c r="F73" s="6"/>
      <c r="G73" s="6"/>
      <c r="H73" s="6"/>
      <c r="I73" s="6"/>
    </row>
    <row r="74" spans="1:15" ht="30.6" hidden="1" customHeight="1">
      <c r="A74" s="65" t="s">
        <v>110</v>
      </c>
      <c r="B74" s="5" t="s">
        <v>111</v>
      </c>
      <c r="C74" s="65"/>
      <c r="D74" s="6"/>
      <c r="E74" s="232"/>
      <c r="F74" s="6"/>
      <c r="G74" s="6"/>
      <c r="H74" s="6"/>
      <c r="I74" s="6"/>
    </row>
    <row r="75" spans="1:15" ht="22.15" customHeight="1">
      <c r="A75" s="65" t="s">
        <v>112</v>
      </c>
      <c r="B75" s="5" t="s">
        <v>113</v>
      </c>
      <c r="C75" s="65">
        <v>169</v>
      </c>
      <c r="D75" s="6">
        <f>G75+H75+I75</f>
        <v>258.17</v>
      </c>
      <c r="E75" s="232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65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>
      <c r="A77" s="65" t="s">
        <v>238</v>
      </c>
      <c r="B77" s="5" t="s">
        <v>115</v>
      </c>
      <c r="C77" s="65"/>
      <c r="D77" s="6"/>
      <c r="E77" s="232">
        <v>176.71</v>
      </c>
      <c r="F77" s="6">
        <v>4658.3899999999994</v>
      </c>
      <c r="G77" s="6"/>
      <c r="H77" s="6"/>
      <c r="I77" s="6"/>
    </row>
    <row r="78" spans="1:15" ht="15.75" hidden="1">
      <c r="A78" s="65" t="s">
        <v>116</v>
      </c>
      <c r="B78" s="5" t="s">
        <v>117</v>
      </c>
      <c r="C78" s="65"/>
      <c r="D78" s="6"/>
      <c r="E78" s="232"/>
      <c r="F78" s="6"/>
      <c r="G78" s="6"/>
      <c r="H78" s="6"/>
      <c r="I78" s="6"/>
    </row>
    <row r="79" spans="1:15" ht="15.75" hidden="1">
      <c r="A79" s="65" t="s">
        <v>118</v>
      </c>
      <c r="B79" s="5" t="s">
        <v>119</v>
      </c>
      <c r="C79" s="65"/>
      <c r="D79" s="6"/>
      <c r="E79" s="232"/>
      <c r="F79" s="6"/>
      <c r="G79" s="6"/>
      <c r="H79" s="6"/>
      <c r="I79" s="6"/>
    </row>
    <row r="80" spans="1:15" ht="34.9" customHeight="1">
      <c r="A80" s="65" t="s">
        <v>120</v>
      </c>
      <c r="B80" s="5" t="s">
        <v>121</v>
      </c>
      <c r="C80" s="65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65" t="s">
        <v>122</v>
      </c>
      <c r="B81" s="268" t="s">
        <v>230</v>
      </c>
      <c r="C81" s="65">
        <v>0</v>
      </c>
      <c r="D81" s="6"/>
      <c r="E81" s="232"/>
      <c r="F81" s="6"/>
      <c r="G81" s="6"/>
      <c r="H81" s="6"/>
      <c r="I81" s="6"/>
    </row>
    <row r="82" spans="1:15" ht="40.9" hidden="1" customHeight="1">
      <c r="A82" s="65" t="s">
        <v>123</v>
      </c>
      <c r="B82" s="268" t="s">
        <v>124</v>
      </c>
      <c r="C82" s="65">
        <v>0</v>
      </c>
      <c r="D82" s="6"/>
      <c r="E82" s="232">
        <v>943.42</v>
      </c>
      <c r="F82" s="6">
        <v>1407.19</v>
      </c>
      <c r="G82" s="6"/>
      <c r="H82" s="6"/>
      <c r="I82" s="6"/>
    </row>
    <row r="83" spans="1:15" ht="18.600000000000001" customHeight="1">
      <c r="A83" s="65" t="s">
        <v>122</v>
      </c>
      <c r="B83" s="269" t="s">
        <v>126</v>
      </c>
      <c r="C83" s="65">
        <v>98.7</v>
      </c>
      <c r="D83" s="6">
        <f>G83+H83+I83</f>
        <v>131.65</v>
      </c>
      <c r="E83" s="232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>
      <c r="A84" s="65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>
      <c r="A85" s="65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>
      <c r="A86" s="65">
        <v>9</v>
      </c>
      <c r="B86" s="5" t="s">
        <v>129</v>
      </c>
      <c r="C86" s="65">
        <v>113.8</v>
      </c>
      <c r="D86" s="65">
        <v>15.94</v>
      </c>
      <c r="E86" s="65">
        <v>831.3</v>
      </c>
      <c r="F86" s="65">
        <v>48</v>
      </c>
      <c r="G86" s="65">
        <v>3.7199999999999998</v>
      </c>
      <c r="H86" s="65">
        <v>6.1099999999999994</v>
      </c>
      <c r="I86" s="65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65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>
      <c r="A88" s="65" t="s">
        <v>192</v>
      </c>
      <c r="B88" s="269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>
      <c r="A89" s="68" t="s">
        <v>193</v>
      </c>
      <c r="B89" s="269" t="s">
        <v>132</v>
      </c>
      <c r="C89" s="6">
        <v>94.83</v>
      </c>
      <c r="D89" s="6">
        <v>12.86</v>
      </c>
      <c r="E89" s="232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65" t="s">
        <v>194</v>
      </c>
      <c r="B90" s="269" t="s">
        <v>133</v>
      </c>
      <c r="C90" s="6">
        <v>0</v>
      </c>
      <c r="D90" s="6">
        <v>0</v>
      </c>
      <c r="E90" s="232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>
      <c r="A91" s="65" t="s">
        <v>195</v>
      </c>
      <c r="B91" s="269" t="s">
        <v>231</v>
      </c>
      <c r="C91" s="65">
        <v>18.97</v>
      </c>
      <c r="D91" s="65">
        <v>3.08</v>
      </c>
      <c r="E91" s="65">
        <v>641.29999999999995</v>
      </c>
      <c r="F91" s="65">
        <v>8</v>
      </c>
      <c r="G91" s="65">
        <v>0.72</v>
      </c>
      <c r="H91" s="65">
        <v>1.18</v>
      </c>
      <c r="I91" s="65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244" t="s">
        <v>232</v>
      </c>
      <c r="B92" s="269" t="s">
        <v>233</v>
      </c>
      <c r="C92" s="65">
        <v>18.97</v>
      </c>
      <c r="D92" s="65">
        <v>3.08</v>
      </c>
      <c r="E92" s="231">
        <v>641.29999999999995</v>
      </c>
      <c r="F92" s="65">
        <v>8</v>
      </c>
      <c r="G92" s="65">
        <v>0.72</v>
      </c>
      <c r="H92" s="65">
        <v>1.18</v>
      </c>
      <c r="I92" s="65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>
      <c r="A93" s="65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>
      <c r="A94" s="65">
        <v>11</v>
      </c>
      <c r="B94" s="72" t="s">
        <v>433</v>
      </c>
      <c r="C94" s="65">
        <v>469.5</v>
      </c>
      <c r="D94" s="65">
        <v>499.4</v>
      </c>
      <c r="E94" s="231"/>
      <c r="F94" s="65"/>
      <c r="G94" s="65">
        <v>124.86</v>
      </c>
      <c r="H94" s="65">
        <v>187.27</v>
      </c>
      <c r="I94" s="65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>
      <c r="A95" s="65">
        <v>12</v>
      </c>
      <c r="B95" s="72" t="s">
        <v>137</v>
      </c>
      <c r="C95" s="65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65"/>
      <c r="B96" s="5" t="s">
        <v>138</v>
      </c>
      <c r="C96" s="65">
        <f>ROUND(C95*1.18,2)</f>
        <v>30.03</v>
      </c>
      <c r="D96" s="65">
        <f t="shared" ref="D96:I96" si="6">ROUND(D95*1.18,2)</f>
        <v>34.590000000000003</v>
      </c>
      <c r="E96" s="65" t="e">
        <f t="shared" si="6"/>
        <v>#DIV/0!</v>
      </c>
      <c r="F96" s="65" t="e">
        <f t="shared" si="6"/>
        <v>#DIV/0!</v>
      </c>
      <c r="G96" s="65">
        <f t="shared" si="6"/>
        <v>31.51</v>
      </c>
      <c r="H96" s="65">
        <f t="shared" si="6"/>
        <v>31.51</v>
      </c>
      <c r="I96" s="65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65"/>
      <c r="B97" s="5" t="s">
        <v>428</v>
      </c>
      <c r="C97" s="65">
        <v>31.51</v>
      </c>
      <c r="D97" s="6"/>
      <c r="E97" s="231"/>
      <c r="F97" s="65"/>
      <c r="G97" s="65"/>
      <c r="H97" s="65"/>
      <c r="I97" s="65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65"/>
      <c r="B98" s="5" t="s">
        <v>139</v>
      </c>
      <c r="C98" s="65"/>
      <c r="D98" s="65"/>
      <c r="E98" s="231"/>
      <c r="F98" s="65"/>
      <c r="G98" s="6">
        <v>100</v>
      </c>
      <c r="H98" s="6">
        <v>100</v>
      </c>
      <c r="I98" s="6">
        <f>I96/H96*100</f>
        <v>126.08695652173911</v>
      </c>
    </row>
    <row r="106" spans="1:15">
      <c r="D106" s="25"/>
      <c r="E106" s="25"/>
      <c r="F106" s="25"/>
      <c r="G106" s="25"/>
      <c r="H106" s="25"/>
      <c r="I106" s="25"/>
    </row>
    <row r="112" spans="1:15">
      <c r="D112" s="25"/>
      <c r="I112" s="25"/>
    </row>
  </sheetData>
  <mergeCells count="10">
    <mergeCell ref="B1:I1"/>
    <mergeCell ref="A3:I3"/>
    <mergeCell ref="A4:I4"/>
    <mergeCell ref="A5:I5"/>
    <mergeCell ref="E7:F7"/>
    <mergeCell ref="G7:I7"/>
    <mergeCell ref="A7:A8"/>
    <mergeCell ref="B7:B8"/>
    <mergeCell ref="C7:C8"/>
    <mergeCell ref="D7:D8"/>
  </mergeCells>
  <phoneticPr fontId="3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2"/>
  <sheetViews>
    <sheetView workbookViewId="0">
      <selection activeCell="A12" sqref="A12:E12"/>
    </sheetView>
  </sheetViews>
  <sheetFormatPr defaultRowHeight="15"/>
  <cols>
    <col min="1" max="1" width="5.85546875" style="270" customWidth="1"/>
    <col min="2" max="2" width="31.140625" style="270" customWidth="1"/>
    <col min="3" max="4" width="16.7109375" style="270" customWidth="1"/>
    <col min="5" max="5" width="16.42578125" style="270" customWidth="1"/>
    <col min="6" max="256" width="9.140625" style="270"/>
    <col min="257" max="257" width="5.85546875" style="270" customWidth="1"/>
    <col min="258" max="258" width="31.140625" style="270" customWidth="1"/>
    <col min="259" max="260" width="16.7109375" style="270" customWidth="1"/>
    <col min="261" max="261" width="16.42578125" style="270" customWidth="1"/>
    <col min="262" max="512" width="9.140625" style="270"/>
    <col min="513" max="513" width="5.85546875" style="270" customWidth="1"/>
    <col min="514" max="514" width="31.140625" style="270" customWidth="1"/>
    <col min="515" max="516" width="16.7109375" style="270" customWidth="1"/>
    <col min="517" max="517" width="16.42578125" style="270" customWidth="1"/>
    <col min="518" max="768" width="9.140625" style="270"/>
    <col min="769" max="769" width="5.85546875" style="270" customWidth="1"/>
    <col min="770" max="770" width="31.140625" style="270" customWidth="1"/>
    <col min="771" max="772" width="16.7109375" style="270" customWidth="1"/>
    <col min="773" max="773" width="16.42578125" style="270" customWidth="1"/>
    <col min="774" max="1024" width="9.140625" style="270"/>
    <col min="1025" max="1025" width="5.85546875" style="270" customWidth="1"/>
    <col min="1026" max="1026" width="31.140625" style="270" customWidth="1"/>
    <col min="1027" max="1028" width="16.7109375" style="270" customWidth="1"/>
    <col min="1029" max="1029" width="16.42578125" style="270" customWidth="1"/>
    <col min="1030" max="1280" width="9.140625" style="270"/>
    <col min="1281" max="1281" width="5.85546875" style="270" customWidth="1"/>
    <col min="1282" max="1282" width="31.140625" style="270" customWidth="1"/>
    <col min="1283" max="1284" width="16.7109375" style="270" customWidth="1"/>
    <col min="1285" max="1285" width="16.42578125" style="270" customWidth="1"/>
    <col min="1286" max="1536" width="9.140625" style="270"/>
    <col min="1537" max="1537" width="5.85546875" style="270" customWidth="1"/>
    <col min="1538" max="1538" width="31.140625" style="270" customWidth="1"/>
    <col min="1539" max="1540" width="16.7109375" style="270" customWidth="1"/>
    <col min="1541" max="1541" width="16.42578125" style="270" customWidth="1"/>
    <col min="1542" max="1792" width="9.140625" style="270"/>
    <col min="1793" max="1793" width="5.85546875" style="270" customWidth="1"/>
    <col min="1794" max="1794" width="31.140625" style="270" customWidth="1"/>
    <col min="1795" max="1796" width="16.7109375" style="270" customWidth="1"/>
    <col min="1797" max="1797" width="16.42578125" style="270" customWidth="1"/>
    <col min="1798" max="2048" width="9.140625" style="270"/>
    <col min="2049" max="2049" width="5.85546875" style="270" customWidth="1"/>
    <col min="2050" max="2050" width="31.140625" style="270" customWidth="1"/>
    <col min="2051" max="2052" width="16.7109375" style="270" customWidth="1"/>
    <col min="2053" max="2053" width="16.42578125" style="270" customWidth="1"/>
    <col min="2054" max="2304" width="9.140625" style="270"/>
    <col min="2305" max="2305" width="5.85546875" style="270" customWidth="1"/>
    <col min="2306" max="2306" width="31.140625" style="270" customWidth="1"/>
    <col min="2307" max="2308" width="16.7109375" style="270" customWidth="1"/>
    <col min="2309" max="2309" width="16.42578125" style="270" customWidth="1"/>
    <col min="2310" max="2560" width="9.140625" style="270"/>
    <col min="2561" max="2561" width="5.85546875" style="270" customWidth="1"/>
    <col min="2562" max="2562" width="31.140625" style="270" customWidth="1"/>
    <col min="2563" max="2564" width="16.7109375" style="270" customWidth="1"/>
    <col min="2565" max="2565" width="16.42578125" style="270" customWidth="1"/>
    <col min="2566" max="2816" width="9.140625" style="270"/>
    <col min="2817" max="2817" width="5.85546875" style="270" customWidth="1"/>
    <col min="2818" max="2818" width="31.140625" style="270" customWidth="1"/>
    <col min="2819" max="2820" width="16.7109375" style="270" customWidth="1"/>
    <col min="2821" max="2821" width="16.42578125" style="270" customWidth="1"/>
    <col min="2822" max="3072" width="9.140625" style="270"/>
    <col min="3073" max="3073" width="5.85546875" style="270" customWidth="1"/>
    <col min="3074" max="3074" width="31.140625" style="270" customWidth="1"/>
    <col min="3075" max="3076" width="16.7109375" style="270" customWidth="1"/>
    <col min="3077" max="3077" width="16.42578125" style="270" customWidth="1"/>
    <col min="3078" max="3328" width="9.140625" style="270"/>
    <col min="3329" max="3329" width="5.85546875" style="270" customWidth="1"/>
    <col min="3330" max="3330" width="31.140625" style="270" customWidth="1"/>
    <col min="3331" max="3332" width="16.7109375" style="270" customWidth="1"/>
    <col min="3333" max="3333" width="16.42578125" style="270" customWidth="1"/>
    <col min="3334" max="3584" width="9.140625" style="270"/>
    <col min="3585" max="3585" width="5.85546875" style="270" customWidth="1"/>
    <col min="3586" max="3586" width="31.140625" style="270" customWidth="1"/>
    <col min="3587" max="3588" width="16.7109375" style="270" customWidth="1"/>
    <col min="3589" max="3589" width="16.42578125" style="270" customWidth="1"/>
    <col min="3590" max="3840" width="9.140625" style="270"/>
    <col min="3841" max="3841" width="5.85546875" style="270" customWidth="1"/>
    <col min="3842" max="3842" width="31.140625" style="270" customWidth="1"/>
    <col min="3843" max="3844" width="16.7109375" style="270" customWidth="1"/>
    <col min="3845" max="3845" width="16.42578125" style="270" customWidth="1"/>
    <col min="3846" max="4096" width="9.140625" style="270"/>
    <col min="4097" max="4097" width="5.85546875" style="270" customWidth="1"/>
    <col min="4098" max="4098" width="31.140625" style="270" customWidth="1"/>
    <col min="4099" max="4100" width="16.7109375" style="270" customWidth="1"/>
    <col min="4101" max="4101" width="16.42578125" style="270" customWidth="1"/>
    <col min="4102" max="4352" width="9.140625" style="270"/>
    <col min="4353" max="4353" width="5.85546875" style="270" customWidth="1"/>
    <col min="4354" max="4354" width="31.140625" style="270" customWidth="1"/>
    <col min="4355" max="4356" width="16.7109375" style="270" customWidth="1"/>
    <col min="4357" max="4357" width="16.42578125" style="270" customWidth="1"/>
    <col min="4358" max="4608" width="9.140625" style="270"/>
    <col min="4609" max="4609" width="5.85546875" style="270" customWidth="1"/>
    <col min="4610" max="4610" width="31.140625" style="270" customWidth="1"/>
    <col min="4611" max="4612" width="16.7109375" style="270" customWidth="1"/>
    <col min="4613" max="4613" width="16.42578125" style="270" customWidth="1"/>
    <col min="4614" max="4864" width="9.140625" style="270"/>
    <col min="4865" max="4865" width="5.85546875" style="270" customWidth="1"/>
    <col min="4866" max="4866" width="31.140625" style="270" customWidth="1"/>
    <col min="4867" max="4868" width="16.7109375" style="270" customWidth="1"/>
    <col min="4869" max="4869" width="16.42578125" style="270" customWidth="1"/>
    <col min="4870" max="5120" width="9.140625" style="270"/>
    <col min="5121" max="5121" width="5.85546875" style="270" customWidth="1"/>
    <col min="5122" max="5122" width="31.140625" style="270" customWidth="1"/>
    <col min="5123" max="5124" width="16.7109375" style="270" customWidth="1"/>
    <col min="5125" max="5125" width="16.42578125" style="270" customWidth="1"/>
    <col min="5126" max="5376" width="9.140625" style="270"/>
    <col min="5377" max="5377" width="5.85546875" style="270" customWidth="1"/>
    <col min="5378" max="5378" width="31.140625" style="270" customWidth="1"/>
    <col min="5379" max="5380" width="16.7109375" style="270" customWidth="1"/>
    <col min="5381" max="5381" width="16.42578125" style="270" customWidth="1"/>
    <col min="5382" max="5632" width="9.140625" style="270"/>
    <col min="5633" max="5633" width="5.85546875" style="270" customWidth="1"/>
    <col min="5634" max="5634" width="31.140625" style="270" customWidth="1"/>
    <col min="5635" max="5636" width="16.7109375" style="270" customWidth="1"/>
    <col min="5637" max="5637" width="16.42578125" style="270" customWidth="1"/>
    <col min="5638" max="5888" width="9.140625" style="270"/>
    <col min="5889" max="5889" width="5.85546875" style="270" customWidth="1"/>
    <col min="5890" max="5890" width="31.140625" style="270" customWidth="1"/>
    <col min="5891" max="5892" width="16.7109375" style="270" customWidth="1"/>
    <col min="5893" max="5893" width="16.42578125" style="270" customWidth="1"/>
    <col min="5894" max="6144" width="9.140625" style="270"/>
    <col min="6145" max="6145" width="5.85546875" style="270" customWidth="1"/>
    <col min="6146" max="6146" width="31.140625" style="270" customWidth="1"/>
    <col min="6147" max="6148" width="16.7109375" style="270" customWidth="1"/>
    <col min="6149" max="6149" width="16.42578125" style="270" customWidth="1"/>
    <col min="6150" max="6400" width="9.140625" style="270"/>
    <col min="6401" max="6401" width="5.85546875" style="270" customWidth="1"/>
    <col min="6402" max="6402" width="31.140625" style="270" customWidth="1"/>
    <col min="6403" max="6404" width="16.7109375" style="270" customWidth="1"/>
    <col min="6405" max="6405" width="16.42578125" style="270" customWidth="1"/>
    <col min="6406" max="6656" width="9.140625" style="270"/>
    <col min="6657" max="6657" width="5.85546875" style="270" customWidth="1"/>
    <col min="6658" max="6658" width="31.140625" style="270" customWidth="1"/>
    <col min="6659" max="6660" width="16.7109375" style="270" customWidth="1"/>
    <col min="6661" max="6661" width="16.42578125" style="270" customWidth="1"/>
    <col min="6662" max="6912" width="9.140625" style="270"/>
    <col min="6913" max="6913" width="5.85546875" style="270" customWidth="1"/>
    <col min="6914" max="6914" width="31.140625" style="270" customWidth="1"/>
    <col min="6915" max="6916" width="16.7109375" style="270" customWidth="1"/>
    <col min="6917" max="6917" width="16.42578125" style="270" customWidth="1"/>
    <col min="6918" max="7168" width="9.140625" style="270"/>
    <col min="7169" max="7169" width="5.85546875" style="270" customWidth="1"/>
    <col min="7170" max="7170" width="31.140625" style="270" customWidth="1"/>
    <col min="7171" max="7172" width="16.7109375" style="270" customWidth="1"/>
    <col min="7173" max="7173" width="16.42578125" style="270" customWidth="1"/>
    <col min="7174" max="7424" width="9.140625" style="270"/>
    <col min="7425" max="7425" width="5.85546875" style="270" customWidth="1"/>
    <col min="7426" max="7426" width="31.140625" style="270" customWidth="1"/>
    <col min="7427" max="7428" width="16.7109375" style="270" customWidth="1"/>
    <col min="7429" max="7429" width="16.42578125" style="270" customWidth="1"/>
    <col min="7430" max="7680" width="9.140625" style="270"/>
    <col min="7681" max="7681" width="5.85546875" style="270" customWidth="1"/>
    <col min="7682" max="7682" width="31.140625" style="270" customWidth="1"/>
    <col min="7683" max="7684" width="16.7109375" style="270" customWidth="1"/>
    <col min="7685" max="7685" width="16.42578125" style="270" customWidth="1"/>
    <col min="7686" max="7936" width="9.140625" style="270"/>
    <col min="7937" max="7937" width="5.85546875" style="270" customWidth="1"/>
    <col min="7938" max="7938" width="31.140625" style="270" customWidth="1"/>
    <col min="7939" max="7940" width="16.7109375" style="270" customWidth="1"/>
    <col min="7941" max="7941" width="16.42578125" style="270" customWidth="1"/>
    <col min="7942" max="8192" width="9.140625" style="270"/>
    <col min="8193" max="8193" width="5.85546875" style="270" customWidth="1"/>
    <col min="8194" max="8194" width="31.140625" style="270" customWidth="1"/>
    <col min="8195" max="8196" width="16.7109375" style="270" customWidth="1"/>
    <col min="8197" max="8197" width="16.42578125" style="270" customWidth="1"/>
    <col min="8198" max="8448" width="9.140625" style="270"/>
    <col min="8449" max="8449" width="5.85546875" style="270" customWidth="1"/>
    <col min="8450" max="8450" width="31.140625" style="270" customWidth="1"/>
    <col min="8451" max="8452" width="16.7109375" style="270" customWidth="1"/>
    <col min="8453" max="8453" width="16.42578125" style="270" customWidth="1"/>
    <col min="8454" max="8704" width="9.140625" style="270"/>
    <col min="8705" max="8705" width="5.85546875" style="270" customWidth="1"/>
    <col min="8706" max="8706" width="31.140625" style="270" customWidth="1"/>
    <col min="8707" max="8708" width="16.7109375" style="270" customWidth="1"/>
    <col min="8709" max="8709" width="16.42578125" style="270" customWidth="1"/>
    <col min="8710" max="8960" width="9.140625" style="270"/>
    <col min="8961" max="8961" width="5.85546875" style="270" customWidth="1"/>
    <col min="8962" max="8962" width="31.140625" style="270" customWidth="1"/>
    <col min="8963" max="8964" width="16.7109375" style="270" customWidth="1"/>
    <col min="8965" max="8965" width="16.42578125" style="270" customWidth="1"/>
    <col min="8966" max="9216" width="9.140625" style="270"/>
    <col min="9217" max="9217" width="5.85546875" style="270" customWidth="1"/>
    <col min="9218" max="9218" width="31.140625" style="270" customWidth="1"/>
    <col min="9219" max="9220" width="16.7109375" style="270" customWidth="1"/>
    <col min="9221" max="9221" width="16.42578125" style="270" customWidth="1"/>
    <col min="9222" max="9472" width="9.140625" style="270"/>
    <col min="9473" max="9473" width="5.85546875" style="270" customWidth="1"/>
    <col min="9474" max="9474" width="31.140625" style="270" customWidth="1"/>
    <col min="9475" max="9476" width="16.7109375" style="270" customWidth="1"/>
    <col min="9477" max="9477" width="16.42578125" style="270" customWidth="1"/>
    <col min="9478" max="9728" width="9.140625" style="270"/>
    <col min="9729" max="9729" width="5.85546875" style="270" customWidth="1"/>
    <col min="9730" max="9730" width="31.140625" style="270" customWidth="1"/>
    <col min="9731" max="9732" width="16.7109375" style="270" customWidth="1"/>
    <col min="9733" max="9733" width="16.42578125" style="270" customWidth="1"/>
    <col min="9734" max="9984" width="9.140625" style="270"/>
    <col min="9985" max="9985" width="5.85546875" style="270" customWidth="1"/>
    <col min="9986" max="9986" width="31.140625" style="270" customWidth="1"/>
    <col min="9987" max="9988" width="16.7109375" style="270" customWidth="1"/>
    <col min="9989" max="9989" width="16.42578125" style="270" customWidth="1"/>
    <col min="9990" max="10240" width="9.140625" style="270"/>
    <col min="10241" max="10241" width="5.85546875" style="270" customWidth="1"/>
    <col min="10242" max="10242" width="31.140625" style="270" customWidth="1"/>
    <col min="10243" max="10244" width="16.7109375" style="270" customWidth="1"/>
    <col min="10245" max="10245" width="16.42578125" style="270" customWidth="1"/>
    <col min="10246" max="10496" width="9.140625" style="270"/>
    <col min="10497" max="10497" width="5.85546875" style="270" customWidth="1"/>
    <col min="10498" max="10498" width="31.140625" style="270" customWidth="1"/>
    <col min="10499" max="10500" width="16.7109375" style="270" customWidth="1"/>
    <col min="10501" max="10501" width="16.42578125" style="270" customWidth="1"/>
    <col min="10502" max="10752" width="9.140625" style="270"/>
    <col min="10753" max="10753" width="5.85546875" style="270" customWidth="1"/>
    <col min="10754" max="10754" width="31.140625" style="270" customWidth="1"/>
    <col min="10755" max="10756" width="16.7109375" style="270" customWidth="1"/>
    <col min="10757" max="10757" width="16.42578125" style="270" customWidth="1"/>
    <col min="10758" max="11008" width="9.140625" style="270"/>
    <col min="11009" max="11009" width="5.85546875" style="270" customWidth="1"/>
    <col min="11010" max="11010" width="31.140625" style="270" customWidth="1"/>
    <col min="11011" max="11012" width="16.7109375" style="270" customWidth="1"/>
    <col min="11013" max="11013" width="16.42578125" style="270" customWidth="1"/>
    <col min="11014" max="11264" width="9.140625" style="270"/>
    <col min="11265" max="11265" width="5.85546875" style="270" customWidth="1"/>
    <col min="11266" max="11266" width="31.140625" style="270" customWidth="1"/>
    <col min="11267" max="11268" width="16.7109375" style="270" customWidth="1"/>
    <col min="11269" max="11269" width="16.42578125" style="270" customWidth="1"/>
    <col min="11270" max="11520" width="9.140625" style="270"/>
    <col min="11521" max="11521" width="5.85546875" style="270" customWidth="1"/>
    <col min="11522" max="11522" width="31.140625" style="270" customWidth="1"/>
    <col min="11523" max="11524" width="16.7109375" style="270" customWidth="1"/>
    <col min="11525" max="11525" width="16.42578125" style="270" customWidth="1"/>
    <col min="11526" max="11776" width="9.140625" style="270"/>
    <col min="11777" max="11777" width="5.85546875" style="270" customWidth="1"/>
    <col min="11778" max="11778" width="31.140625" style="270" customWidth="1"/>
    <col min="11779" max="11780" width="16.7109375" style="270" customWidth="1"/>
    <col min="11781" max="11781" width="16.42578125" style="270" customWidth="1"/>
    <col min="11782" max="12032" width="9.140625" style="270"/>
    <col min="12033" max="12033" width="5.85546875" style="270" customWidth="1"/>
    <col min="12034" max="12034" width="31.140625" style="270" customWidth="1"/>
    <col min="12035" max="12036" width="16.7109375" style="270" customWidth="1"/>
    <col min="12037" max="12037" width="16.42578125" style="270" customWidth="1"/>
    <col min="12038" max="12288" width="9.140625" style="270"/>
    <col min="12289" max="12289" width="5.85546875" style="270" customWidth="1"/>
    <col min="12290" max="12290" width="31.140625" style="270" customWidth="1"/>
    <col min="12291" max="12292" width="16.7109375" style="270" customWidth="1"/>
    <col min="12293" max="12293" width="16.42578125" style="270" customWidth="1"/>
    <col min="12294" max="12544" width="9.140625" style="270"/>
    <col min="12545" max="12545" width="5.85546875" style="270" customWidth="1"/>
    <col min="12546" max="12546" width="31.140625" style="270" customWidth="1"/>
    <col min="12547" max="12548" width="16.7109375" style="270" customWidth="1"/>
    <col min="12549" max="12549" width="16.42578125" style="270" customWidth="1"/>
    <col min="12550" max="12800" width="9.140625" style="270"/>
    <col min="12801" max="12801" width="5.85546875" style="270" customWidth="1"/>
    <col min="12802" max="12802" width="31.140625" style="270" customWidth="1"/>
    <col min="12803" max="12804" width="16.7109375" style="270" customWidth="1"/>
    <col min="12805" max="12805" width="16.42578125" style="270" customWidth="1"/>
    <col min="12806" max="13056" width="9.140625" style="270"/>
    <col min="13057" max="13057" width="5.85546875" style="270" customWidth="1"/>
    <col min="13058" max="13058" width="31.140625" style="270" customWidth="1"/>
    <col min="13059" max="13060" width="16.7109375" style="270" customWidth="1"/>
    <col min="13061" max="13061" width="16.42578125" style="270" customWidth="1"/>
    <col min="13062" max="13312" width="9.140625" style="270"/>
    <col min="13313" max="13313" width="5.85546875" style="270" customWidth="1"/>
    <col min="13314" max="13314" width="31.140625" style="270" customWidth="1"/>
    <col min="13315" max="13316" width="16.7109375" style="270" customWidth="1"/>
    <col min="13317" max="13317" width="16.42578125" style="270" customWidth="1"/>
    <col min="13318" max="13568" width="9.140625" style="270"/>
    <col min="13569" max="13569" width="5.85546875" style="270" customWidth="1"/>
    <col min="13570" max="13570" width="31.140625" style="270" customWidth="1"/>
    <col min="13571" max="13572" width="16.7109375" style="270" customWidth="1"/>
    <col min="13573" max="13573" width="16.42578125" style="270" customWidth="1"/>
    <col min="13574" max="13824" width="9.140625" style="270"/>
    <col min="13825" max="13825" width="5.85546875" style="270" customWidth="1"/>
    <col min="13826" max="13826" width="31.140625" style="270" customWidth="1"/>
    <col min="13827" max="13828" width="16.7109375" style="270" customWidth="1"/>
    <col min="13829" max="13829" width="16.42578125" style="270" customWidth="1"/>
    <col min="13830" max="14080" width="9.140625" style="270"/>
    <col min="14081" max="14081" width="5.85546875" style="270" customWidth="1"/>
    <col min="14082" max="14082" width="31.140625" style="270" customWidth="1"/>
    <col min="14083" max="14084" width="16.7109375" style="270" customWidth="1"/>
    <col min="14085" max="14085" width="16.42578125" style="270" customWidth="1"/>
    <col min="14086" max="14336" width="9.140625" style="270"/>
    <col min="14337" max="14337" width="5.85546875" style="270" customWidth="1"/>
    <col min="14338" max="14338" width="31.140625" style="270" customWidth="1"/>
    <col min="14339" max="14340" width="16.7109375" style="270" customWidth="1"/>
    <col min="14341" max="14341" width="16.42578125" style="270" customWidth="1"/>
    <col min="14342" max="14592" width="9.140625" style="270"/>
    <col min="14593" max="14593" width="5.85546875" style="270" customWidth="1"/>
    <col min="14594" max="14594" width="31.140625" style="270" customWidth="1"/>
    <col min="14595" max="14596" width="16.7109375" style="270" customWidth="1"/>
    <col min="14597" max="14597" width="16.42578125" style="270" customWidth="1"/>
    <col min="14598" max="14848" width="9.140625" style="270"/>
    <col min="14849" max="14849" width="5.85546875" style="270" customWidth="1"/>
    <col min="14850" max="14850" width="31.140625" style="270" customWidth="1"/>
    <col min="14851" max="14852" width="16.7109375" style="270" customWidth="1"/>
    <col min="14853" max="14853" width="16.42578125" style="270" customWidth="1"/>
    <col min="14854" max="15104" width="9.140625" style="270"/>
    <col min="15105" max="15105" width="5.85546875" style="270" customWidth="1"/>
    <col min="15106" max="15106" width="31.140625" style="270" customWidth="1"/>
    <col min="15107" max="15108" width="16.7109375" style="270" customWidth="1"/>
    <col min="15109" max="15109" width="16.42578125" style="270" customWidth="1"/>
    <col min="15110" max="15360" width="9.140625" style="270"/>
    <col min="15361" max="15361" width="5.85546875" style="270" customWidth="1"/>
    <col min="15362" max="15362" width="31.140625" style="270" customWidth="1"/>
    <col min="15363" max="15364" width="16.7109375" style="270" customWidth="1"/>
    <col min="15365" max="15365" width="16.42578125" style="270" customWidth="1"/>
    <col min="15366" max="15616" width="9.140625" style="270"/>
    <col min="15617" max="15617" width="5.85546875" style="270" customWidth="1"/>
    <col min="15618" max="15618" width="31.140625" style="270" customWidth="1"/>
    <col min="15619" max="15620" width="16.7109375" style="270" customWidth="1"/>
    <col min="15621" max="15621" width="16.42578125" style="270" customWidth="1"/>
    <col min="15622" max="15872" width="9.140625" style="270"/>
    <col min="15873" max="15873" width="5.85546875" style="270" customWidth="1"/>
    <col min="15874" max="15874" width="31.140625" style="270" customWidth="1"/>
    <col min="15875" max="15876" width="16.7109375" style="270" customWidth="1"/>
    <col min="15877" max="15877" width="16.42578125" style="270" customWidth="1"/>
    <col min="15878" max="16128" width="9.140625" style="270"/>
    <col min="16129" max="16129" width="5.85546875" style="270" customWidth="1"/>
    <col min="16130" max="16130" width="31.140625" style="270" customWidth="1"/>
    <col min="16131" max="16132" width="16.7109375" style="270" customWidth="1"/>
    <col min="16133" max="16133" width="16.42578125" style="270" customWidth="1"/>
    <col min="16134" max="16384" width="9.140625" style="270"/>
  </cols>
  <sheetData>
    <row r="1" spans="1:256" ht="45" customHeight="1">
      <c r="C1" s="384" t="s">
        <v>455</v>
      </c>
      <c r="D1" s="384"/>
      <c r="E1" s="384"/>
      <c r="F1" s="316"/>
    </row>
    <row r="2" spans="1:256" ht="18.75">
      <c r="D2" s="399"/>
      <c r="E2" s="399"/>
    </row>
    <row r="3" spans="1:256" ht="66" customHeight="1">
      <c r="A3" s="400" t="s">
        <v>484</v>
      </c>
      <c r="B3" s="400"/>
      <c r="C3" s="400"/>
      <c r="D3" s="400"/>
      <c r="E3" s="400"/>
    </row>
    <row r="5" spans="1:256" ht="18.75">
      <c r="A5" s="401" t="s">
        <v>160</v>
      </c>
      <c r="B5" s="401" t="s">
        <v>212</v>
      </c>
      <c r="C5" s="401" t="s">
        <v>240</v>
      </c>
      <c r="D5" s="401" t="s">
        <v>213</v>
      </c>
      <c r="E5" s="40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  <c r="IO5" s="271"/>
      <c r="IP5" s="271"/>
      <c r="IQ5" s="271"/>
      <c r="IR5" s="271"/>
      <c r="IS5" s="271"/>
      <c r="IT5" s="271"/>
      <c r="IU5" s="271"/>
      <c r="IV5" s="271"/>
    </row>
    <row r="6" spans="1:256">
      <c r="A6" s="401"/>
      <c r="B6" s="401"/>
      <c r="C6" s="401"/>
      <c r="D6" s="401" t="s">
        <v>448</v>
      </c>
      <c r="E6" s="402" t="s">
        <v>4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  <c r="IP6" s="271"/>
      <c r="IQ6" s="271"/>
      <c r="IR6" s="271"/>
      <c r="IS6" s="271"/>
      <c r="IT6" s="271"/>
      <c r="IU6" s="271"/>
      <c r="IV6" s="271"/>
    </row>
    <row r="7" spans="1:256" ht="23.25" customHeight="1">
      <c r="A7" s="401"/>
      <c r="B7" s="401"/>
      <c r="C7" s="401"/>
      <c r="D7" s="401"/>
      <c r="E7" s="403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271"/>
      <c r="IR7" s="271"/>
      <c r="IS7" s="271"/>
      <c r="IT7" s="271"/>
      <c r="IU7" s="271"/>
      <c r="IV7" s="271"/>
    </row>
    <row r="8" spans="1:256" ht="18.75">
      <c r="A8" s="321">
        <v>1</v>
      </c>
      <c r="B8" s="321">
        <v>2</v>
      </c>
      <c r="C8" s="321">
        <v>3</v>
      </c>
      <c r="D8" s="321">
        <v>4</v>
      </c>
      <c r="E8" s="321">
        <v>5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  <c r="IL8" s="271"/>
      <c r="IM8" s="271"/>
      <c r="IN8" s="271"/>
      <c r="IO8" s="271"/>
      <c r="IP8" s="271"/>
      <c r="IQ8" s="271"/>
      <c r="IR8" s="271"/>
      <c r="IS8" s="271"/>
      <c r="IT8" s="271"/>
      <c r="IU8" s="271"/>
      <c r="IV8" s="271"/>
    </row>
    <row r="9" spans="1:256" ht="18.75">
      <c r="A9" s="321">
        <v>1</v>
      </c>
      <c r="B9" s="397" t="s">
        <v>485</v>
      </c>
      <c r="C9" s="397"/>
      <c r="D9" s="397"/>
      <c r="E9" s="397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</row>
    <row r="10" spans="1:256" ht="56.25">
      <c r="A10" s="322" t="s">
        <v>6</v>
      </c>
      <c r="B10" s="323" t="s">
        <v>216</v>
      </c>
      <c r="C10" s="322" t="s">
        <v>217</v>
      </c>
      <c r="D10" s="324">
        <v>36.869999999999997</v>
      </c>
      <c r="E10" s="325">
        <v>38.86</v>
      </c>
    </row>
    <row r="11" spans="1:256" ht="56.25">
      <c r="A11" s="321" t="s">
        <v>8</v>
      </c>
      <c r="B11" s="326" t="s">
        <v>218</v>
      </c>
      <c r="C11" s="321" t="s">
        <v>217</v>
      </c>
      <c r="D11" s="327">
        <v>43.51</v>
      </c>
      <c r="E11" s="328">
        <v>45.85</v>
      </c>
    </row>
    <row r="12" spans="1:256" ht="67.5" customHeight="1">
      <c r="A12" s="398"/>
      <c r="B12" s="398"/>
      <c r="C12" s="398"/>
      <c r="D12" s="398"/>
      <c r="E12" s="398"/>
    </row>
  </sheetData>
  <mergeCells count="11">
    <mergeCell ref="B9:E9"/>
    <mergeCell ref="A12:E12"/>
    <mergeCell ref="C1:E1"/>
    <mergeCell ref="D2:E2"/>
    <mergeCell ref="A3:E3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workbookViewId="0">
      <selection activeCell="I6" sqref="I6"/>
    </sheetView>
  </sheetViews>
  <sheetFormatPr defaultRowHeight="15"/>
  <cols>
    <col min="1" max="1" width="5.85546875" style="270" customWidth="1"/>
    <col min="2" max="2" width="31.140625" style="270" customWidth="1"/>
    <col min="3" max="4" width="16.7109375" style="270" customWidth="1"/>
    <col min="5" max="5" width="16.42578125" style="270" customWidth="1"/>
    <col min="6" max="16384" width="9.140625" style="270"/>
  </cols>
  <sheetData>
    <row r="1" spans="1:6" ht="36.75" customHeight="1">
      <c r="C1" s="387" t="s">
        <v>455</v>
      </c>
      <c r="D1" s="387"/>
      <c r="E1" s="387"/>
      <c r="F1" s="206"/>
    </row>
    <row r="2" spans="1:6" ht="15" customHeight="1">
      <c r="D2" s="399"/>
      <c r="E2" s="399"/>
    </row>
    <row r="3" spans="1:6" ht="57" customHeight="1">
      <c r="A3" s="362" t="s">
        <v>453</v>
      </c>
      <c r="B3" s="362"/>
      <c r="C3" s="362"/>
      <c r="D3" s="362"/>
      <c r="E3" s="362"/>
    </row>
    <row r="5" spans="1:6" s="271" customFormat="1" ht="18.75" customHeight="1">
      <c r="A5" s="408" t="s">
        <v>160</v>
      </c>
      <c r="B5" s="408" t="s">
        <v>212</v>
      </c>
      <c r="C5" s="408" t="s">
        <v>240</v>
      </c>
      <c r="D5" s="408" t="s">
        <v>213</v>
      </c>
      <c r="E5" s="408"/>
    </row>
    <row r="6" spans="1:6" s="271" customFormat="1" ht="93" customHeight="1">
      <c r="A6" s="408"/>
      <c r="B6" s="408"/>
      <c r="C6" s="408"/>
      <c r="D6" s="408" t="s">
        <v>448</v>
      </c>
      <c r="E6" s="405" t="s">
        <v>4</v>
      </c>
    </row>
    <row r="7" spans="1:6" s="271" customFormat="1" ht="18.75" customHeight="1">
      <c r="A7" s="408"/>
      <c r="B7" s="408"/>
      <c r="C7" s="408"/>
      <c r="D7" s="408"/>
      <c r="E7" s="406"/>
    </row>
    <row r="8" spans="1:6" s="271" customFormat="1" ht="15.75" customHeight="1">
      <c r="A8" s="282">
        <v>1</v>
      </c>
      <c r="B8" s="282">
        <v>2</v>
      </c>
      <c r="C8" s="282">
        <v>3</v>
      </c>
      <c r="D8" s="282">
        <v>4</v>
      </c>
      <c r="E8" s="282">
        <v>5</v>
      </c>
    </row>
    <row r="9" spans="1:6" s="271" customFormat="1" ht="18.75">
      <c r="A9" s="282">
        <v>1</v>
      </c>
      <c r="B9" s="404" t="s">
        <v>215</v>
      </c>
      <c r="C9" s="404"/>
      <c r="D9" s="404"/>
      <c r="E9" s="404"/>
    </row>
    <row r="10" spans="1:6" ht="58.5" customHeight="1">
      <c r="A10" s="284" t="s">
        <v>6</v>
      </c>
      <c r="B10" s="285" t="s">
        <v>216</v>
      </c>
      <c r="C10" s="284" t="s">
        <v>217</v>
      </c>
      <c r="D10" s="294">
        <v>16.78</v>
      </c>
      <c r="E10" s="294">
        <v>17.68</v>
      </c>
    </row>
    <row r="11" spans="1:6" ht="56.25">
      <c r="A11" s="282" t="s">
        <v>8</v>
      </c>
      <c r="B11" s="283" t="s">
        <v>218</v>
      </c>
      <c r="C11" s="282" t="s">
        <v>217</v>
      </c>
      <c r="D11" s="295">
        <v>19.8</v>
      </c>
      <c r="E11" s="296">
        <v>20.86</v>
      </c>
    </row>
    <row r="12" spans="1:6" ht="57.75" customHeight="1">
      <c r="A12" s="407" t="s">
        <v>458</v>
      </c>
      <c r="B12" s="407"/>
      <c r="C12" s="407"/>
      <c r="D12" s="407"/>
      <c r="E12" s="407"/>
    </row>
    <row r="14" spans="1:6" ht="15" hidden="1" customHeight="1"/>
    <row r="15" spans="1:6" ht="15" hidden="1" customHeight="1"/>
    <row r="16" spans="1:6" ht="15" hidden="1" customHeight="1"/>
    <row r="17" ht="15" hidden="1" customHeight="1"/>
  </sheetData>
  <mergeCells count="11"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  <mergeCell ref="D6:D7"/>
  </mergeCells>
  <phoneticPr fontId="3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I17" sqref="I17"/>
    </sheetView>
  </sheetViews>
  <sheetFormatPr defaultRowHeight="15"/>
  <cols>
    <col min="1" max="1" width="3.42578125" customWidth="1"/>
    <col min="2" max="2" width="22.42578125" customWidth="1"/>
    <col min="3" max="3" width="11.5703125" customWidth="1"/>
    <col min="4" max="4" width="8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</cols>
  <sheetData>
    <row r="1" spans="1:21" ht="33.75">
      <c r="A1" s="417" t="s">
        <v>265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21">
      <c r="A2" s="392" t="s">
        <v>160</v>
      </c>
      <c r="B2" s="392" t="s">
        <v>266</v>
      </c>
      <c r="C2" s="392" t="s">
        <v>267</v>
      </c>
      <c r="D2" s="418" t="s">
        <v>268</v>
      </c>
      <c r="E2" s="419"/>
      <c r="F2" s="392" t="s">
        <v>269</v>
      </c>
      <c r="G2" s="392" t="s">
        <v>270</v>
      </c>
      <c r="H2" s="392" t="s">
        <v>271</v>
      </c>
      <c r="I2" s="392" t="s">
        <v>272</v>
      </c>
      <c r="J2" s="418" t="s">
        <v>273</v>
      </c>
      <c r="K2" s="419"/>
      <c r="L2" s="392" t="s">
        <v>274</v>
      </c>
      <c r="M2" s="418" t="s">
        <v>275</v>
      </c>
      <c r="N2" s="419"/>
      <c r="O2" s="418" t="s">
        <v>276</v>
      </c>
      <c r="P2" s="419"/>
    </row>
    <row r="3" spans="1:21" ht="38.25">
      <c r="A3" s="393"/>
      <c r="B3" s="393"/>
      <c r="C3" s="393"/>
      <c r="D3" s="82" t="s">
        <v>277</v>
      </c>
      <c r="E3" s="82" t="s">
        <v>278</v>
      </c>
      <c r="F3" s="393"/>
      <c r="G3" s="420"/>
      <c r="H3" s="420"/>
      <c r="I3" s="420"/>
      <c r="J3" s="82" t="s">
        <v>279</v>
      </c>
      <c r="K3" s="82" t="s">
        <v>280</v>
      </c>
      <c r="L3" s="420"/>
      <c r="M3" s="82" t="s">
        <v>281</v>
      </c>
      <c r="N3" s="82" t="s">
        <v>282</v>
      </c>
      <c r="O3" s="82" t="s">
        <v>283</v>
      </c>
      <c r="P3" s="82" t="s">
        <v>284</v>
      </c>
      <c r="R3" s="83" t="s">
        <v>285</v>
      </c>
      <c r="S3">
        <f>1.95*1.18</f>
        <v>2.3009999999999997</v>
      </c>
    </row>
    <row r="4" spans="1:21">
      <c r="A4" s="84">
        <v>1</v>
      </c>
      <c r="B4" s="85" t="s">
        <v>286</v>
      </c>
      <c r="C4" s="86"/>
      <c r="D4" s="86"/>
      <c r="E4" s="86"/>
      <c r="F4" s="87"/>
      <c r="G4" s="86"/>
      <c r="H4" s="87"/>
      <c r="I4" s="86"/>
      <c r="J4" s="86"/>
      <c r="K4" s="86"/>
      <c r="L4" s="88"/>
      <c r="M4" s="86"/>
      <c r="N4" s="86"/>
      <c r="O4" s="86"/>
      <c r="P4" s="86"/>
    </row>
    <row r="5" spans="1:21">
      <c r="A5" s="57"/>
      <c r="B5" s="89" t="s">
        <v>287</v>
      </c>
      <c r="C5" s="86">
        <v>55</v>
      </c>
      <c r="D5" s="86">
        <v>1</v>
      </c>
      <c r="E5" s="86"/>
      <c r="F5" s="87">
        <f>D5*C5</f>
        <v>55</v>
      </c>
      <c r="G5" s="86">
        <v>0.8</v>
      </c>
      <c r="H5" s="87">
        <f>G5*F5</f>
        <v>44</v>
      </c>
      <c r="I5" s="86">
        <v>60</v>
      </c>
      <c r="J5" s="90">
        <f>R8/I5</f>
        <v>0.97712328767123291</v>
      </c>
      <c r="K5" s="86">
        <v>365</v>
      </c>
      <c r="L5" s="91">
        <f>H5*J5*K5</f>
        <v>15692.6</v>
      </c>
      <c r="M5" s="92">
        <f>L5</f>
        <v>15692.6</v>
      </c>
      <c r="N5" s="92"/>
      <c r="O5" s="92"/>
      <c r="P5" s="92">
        <f>M5</f>
        <v>15692.6</v>
      </c>
      <c r="R5" s="83" t="s">
        <v>288</v>
      </c>
      <c r="U5">
        <f>L13*S3/1000</f>
        <v>89.325125790789471</v>
      </c>
    </row>
    <row r="6" spans="1:21">
      <c r="A6" s="57"/>
      <c r="B6" s="89" t="s">
        <v>287</v>
      </c>
      <c r="C6" s="86">
        <v>55</v>
      </c>
      <c r="D6" s="86"/>
      <c r="E6" s="86">
        <v>1</v>
      </c>
      <c r="F6" s="87">
        <f t="shared" ref="F6:F22" si="0">D6*C6</f>
        <v>0</v>
      </c>
      <c r="G6" s="86">
        <v>0.8</v>
      </c>
      <c r="H6" s="87">
        <f t="shared" ref="H6:H22" si="1">G6*F6</f>
        <v>0</v>
      </c>
      <c r="I6" s="86">
        <v>60</v>
      </c>
      <c r="J6" s="86"/>
      <c r="K6" s="86"/>
      <c r="L6" s="91">
        <f t="shared" ref="L6:L11" si="2">H6*J6*K6</f>
        <v>0</v>
      </c>
      <c r="M6" s="92"/>
      <c r="N6" s="92"/>
      <c r="O6" s="92"/>
      <c r="P6" s="92"/>
      <c r="T6" s="83" t="s">
        <v>289</v>
      </c>
      <c r="U6">
        <f>S3*P22/1000</f>
        <v>44.565767999999998</v>
      </c>
    </row>
    <row r="7" spans="1:21">
      <c r="A7" s="57"/>
      <c r="B7" s="89" t="s">
        <v>290</v>
      </c>
      <c r="C7" s="86">
        <v>10</v>
      </c>
      <c r="D7" s="86">
        <v>1</v>
      </c>
      <c r="E7" s="86"/>
      <c r="F7" s="87">
        <f t="shared" si="0"/>
        <v>10</v>
      </c>
      <c r="G7" s="86">
        <v>0.87</v>
      </c>
      <c r="H7" s="87">
        <f t="shared" si="1"/>
        <v>8.6999999999999993</v>
      </c>
      <c r="I7" s="86">
        <v>6</v>
      </c>
      <c r="J7" s="86">
        <v>0.5</v>
      </c>
      <c r="K7" s="86">
        <v>365</v>
      </c>
      <c r="L7" s="91">
        <f t="shared" si="2"/>
        <v>1587.7499999999998</v>
      </c>
      <c r="M7" s="92">
        <f>L7</f>
        <v>1587.7499999999998</v>
      </c>
      <c r="N7" s="92"/>
      <c r="O7" s="92"/>
      <c r="P7" s="92">
        <v>1587.75</v>
      </c>
    </row>
    <row r="8" spans="1:21" ht="60">
      <c r="A8" s="57"/>
      <c r="B8" s="89" t="s">
        <v>291</v>
      </c>
      <c r="C8" s="86"/>
      <c r="D8" s="86"/>
      <c r="E8" s="86"/>
      <c r="F8" s="87"/>
      <c r="G8" s="86"/>
      <c r="H8" s="87"/>
      <c r="I8" s="86"/>
      <c r="J8" s="86"/>
      <c r="K8" s="86"/>
      <c r="L8" s="93">
        <f>L5+L7</f>
        <v>17280.349999999999</v>
      </c>
      <c r="M8" s="94"/>
      <c r="N8" s="92"/>
      <c r="O8" s="92"/>
      <c r="P8" s="92">
        <f>P5+P7</f>
        <v>17280.349999999999</v>
      </c>
      <c r="Q8" s="55" t="s">
        <v>292</v>
      </c>
      <c r="R8">
        <f>21399/365</f>
        <v>58.627397260273973</v>
      </c>
    </row>
    <row r="9" spans="1:21">
      <c r="A9" s="84">
        <v>2</v>
      </c>
      <c r="B9" s="85" t="s">
        <v>293</v>
      </c>
      <c r="C9" s="86"/>
      <c r="D9" s="86"/>
      <c r="E9" s="86"/>
      <c r="F9" s="87"/>
      <c r="G9" s="86"/>
      <c r="H9" s="87"/>
      <c r="I9" s="86"/>
      <c r="J9" s="86"/>
      <c r="K9" s="86"/>
      <c r="L9" s="91"/>
      <c r="M9" s="92"/>
      <c r="N9" s="92"/>
      <c r="O9" s="92"/>
      <c r="P9" s="92"/>
    </row>
    <row r="10" spans="1:21">
      <c r="A10" s="57"/>
      <c r="B10" s="89" t="s">
        <v>294</v>
      </c>
      <c r="C10" s="86">
        <v>45</v>
      </c>
      <c r="D10" s="86">
        <v>1</v>
      </c>
      <c r="E10" s="86"/>
      <c r="F10" s="87">
        <f t="shared" si="0"/>
        <v>45</v>
      </c>
      <c r="G10" s="86">
        <v>0.85</v>
      </c>
      <c r="H10" s="87">
        <f t="shared" si="1"/>
        <v>38.25</v>
      </c>
      <c r="I10" s="86">
        <v>38</v>
      </c>
      <c r="J10" s="90">
        <f>R8/I10</f>
        <v>1.5428262436914204</v>
      </c>
      <c r="K10" s="86">
        <v>365</v>
      </c>
      <c r="L10" s="91">
        <f t="shared" si="2"/>
        <v>21539.782894736843</v>
      </c>
      <c r="M10" s="92"/>
      <c r="N10" s="92">
        <f>L10</f>
        <v>21539.782894736843</v>
      </c>
      <c r="O10" s="92"/>
      <c r="P10" s="92"/>
    </row>
    <row r="11" spans="1:21">
      <c r="A11" s="57"/>
      <c r="B11" s="89" t="s">
        <v>295</v>
      </c>
      <c r="C11" s="86">
        <v>30</v>
      </c>
      <c r="D11" s="86"/>
      <c r="E11" s="86">
        <v>1</v>
      </c>
      <c r="F11" s="87">
        <f t="shared" si="0"/>
        <v>0</v>
      </c>
      <c r="G11" s="86">
        <v>0.85</v>
      </c>
      <c r="H11" s="87">
        <f t="shared" si="1"/>
        <v>0</v>
      </c>
      <c r="I11" s="86"/>
      <c r="J11" s="86"/>
      <c r="K11" s="86"/>
      <c r="L11" s="91">
        <f t="shared" si="2"/>
        <v>0</v>
      </c>
      <c r="M11" s="92"/>
      <c r="N11" s="92"/>
      <c r="O11" s="92"/>
      <c r="P11" s="92"/>
    </row>
    <row r="12" spans="1:21">
      <c r="A12" s="57"/>
      <c r="B12" s="89" t="s">
        <v>291</v>
      </c>
      <c r="C12" s="86"/>
      <c r="D12" s="86"/>
      <c r="E12" s="86"/>
      <c r="F12" s="87">
        <f t="shared" si="0"/>
        <v>0</v>
      </c>
      <c r="G12" s="86"/>
      <c r="H12" s="87">
        <f t="shared" si="1"/>
        <v>0</v>
      </c>
      <c r="I12" s="86"/>
      <c r="J12" s="86"/>
      <c r="K12" s="86"/>
      <c r="L12" s="93">
        <f>L10+L11</f>
        <v>21539.782894736843</v>
      </c>
      <c r="M12" s="94"/>
      <c r="N12" s="94">
        <f>N10+N11</f>
        <v>21539.782894736843</v>
      </c>
      <c r="O12" s="92"/>
      <c r="P12" s="92">
        <f>N12</f>
        <v>21539.782894736843</v>
      </c>
    </row>
    <row r="13" spans="1:21">
      <c r="A13" s="95"/>
      <c r="B13" s="96" t="s">
        <v>296</v>
      </c>
      <c r="C13" s="95"/>
      <c r="D13" s="95"/>
      <c r="E13" s="95"/>
      <c r="F13" s="95">
        <f t="shared" si="0"/>
        <v>0</v>
      </c>
      <c r="G13" s="95"/>
      <c r="H13" s="95">
        <f t="shared" si="1"/>
        <v>0</v>
      </c>
      <c r="I13" s="95"/>
      <c r="J13" s="95"/>
      <c r="K13" s="95"/>
      <c r="L13" s="97">
        <f>L8+L12</f>
        <v>38820.132894736846</v>
      </c>
      <c r="M13" s="97">
        <f>M5+M7</f>
        <v>17280.349999999999</v>
      </c>
      <c r="N13" s="97">
        <f>N8+N12</f>
        <v>21539.782894736843</v>
      </c>
      <c r="O13" s="98"/>
      <c r="P13" s="97">
        <f>P8+P12</f>
        <v>38820.132894736846</v>
      </c>
      <c r="Q13" s="99"/>
    </row>
    <row r="14" spans="1:21">
      <c r="A14" s="84">
        <v>3</v>
      </c>
      <c r="B14" s="85" t="s">
        <v>297</v>
      </c>
      <c r="C14" s="86"/>
      <c r="D14" s="86"/>
      <c r="E14" s="86"/>
      <c r="F14" s="87">
        <f t="shared" si="0"/>
        <v>0</v>
      </c>
      <c r="G14" s="86"/>
      <c r="H14" s="87">
        <f t="shared" si="1"/>
        <v>0</v>
      </c>
      <c r="I14" s="86"/>
      <c r="J14" s="86"/>
      <c r="K14" s="86"/>
      <c r="L14" s="88"/>
      <c r="M14" s="86"/>
      <c r="N14" s="86"/>
      <c r="O14" s="86"/>
      <c r="P14" s="86"/>
    </row>
    <row r="15" spans="1:21">
      <c r="A15" s="57"/>
      <c r="B15" s="85" t="s">
        <v>286</v>
      </c>
      <c r="C15" s="86">
        <v>0.8</v>
      </c>
      <c r="D15" s="86">
        <v>10</v>
      </c>
      <c r="E15" s="86">
        <v>365</v>
      </c>
      <c r="F15" s="87">
        <f t="shared" si="0"/>
        <v>8</v>
      </c>
      <c r="G15" s="86"/>
      <c r="H15" s="87">
        <f t="shared" si="1"/>
        <v>0</v>
      </c>
      <c r="I15" s="86"/>
      <c r="J15" s="86"/>
      <c r="K15" s="86"/>
      <c r="L15" s="88">
        <f>F15*E15</f>
        <v>2920</v>
      </c>
      <c r="M15" s="86"/>
      <c r="N15" s="86"/>
      <c r="O15" s="86"/>
      <c r="P15" s="86"/>
    </row>
    <row r="16" spans="1:21">
      <c r="A16" s="57"/>
      <c r="B16" s="85" t="s">
        <v>293</v>
      </c>
      <c r="C16" s="86">
        <v>1</v>
      </c>
      <c r="D16" s="86">
        <v>10</v>
      </c>
      <c r="E16" s="86">
        <v>365</v>
      </c>
      <c r="F16" s="87">
        <f t="shared" si="0"/>
        <v>10</v>
      </c>
      <c r="G16" s="86"/>
      <c r="H16" s="87">
        <f t="shared" si="1"/>
        <v>0</v>
      </c>
      <c r="I16" s="86"/>
      <c r="J16" s="86"/>
      <c r="K16" s="86"/>
      <c r="L16" s="88">
        <f>F16*E16</f>
        <v>3650</v>
      </c>
      <c r="M16" s="86"/>
      <c r="N16" s="86"/>
      <c r="O16" s="86"/>
      <c r="P16" s="86"/>
    </row>
    <row r="17" spans="1:16">
      <c r="A17" s="57"/>
      <c r="B17" s="85" t="s">
        <v>291</v>
      </c>
      <c r="C17" s="86"/>
      <c r="D17" s="86"/>
      <c r="E17" s="86"/>
      <c r="F17" s="87">
        <f t="shared" si="0"/>
        <v>0</v>
      </c>
      <c r="G17" s="86"/>
      <c r="H17" s="87">
        <f t="shared" si="1"/>
        <v>0</v>
      </c>
      <c r="I17" s="86"/>
      <c r="J17" s="86"/>
      <c r="K17" s="86"/>
      <c r="L17" s="100">
        <f>L15+L16</f>
        <v>6570</v>
      </c>
      <c r="M17" s="86"/>
      <c r="N17" s="86"/>
      <c r="O17" s="86"/>
      <c r="P17" s="86">
        <f>L17</f>
        <v>6570</v>
      </c>
    </row>
    <row r="18" spans="1:16">
      <c r="A18" s="84">
        <v>4</v>
      </c>
      <c r="B18" s="85" t="s">
        <v>298</v>
      </c>
      <c r="C18" s="86"/>
      <c r="D18" s="86"/>
      <c r="E18" s="86"/>
      <c r="F18" s="87">
        <f t="shared" si="0"/>
        <v>0</v>
      </c>
      <c r="G18" s="86"/>
      <c r="H18" s="87">
        <f t="shared" si="1"/>
        <v>0</v>
      </c>
      <c r="I18" s="86"/>
      <c r="J18" s="86"/>
      <c r="K18" s="86"/>
      <c r="L18" s="100"/>
      <c r="M18" s="86"/>
      <c r="N18" s="86"/>
      <c r="O18" s="86"/>
      <c r="P18" s="86"/>
    </row>
    <row r="19" spans="1:16">
      <c r="A19" s="57"/>
      <c r="B19" s="85" t="s">
        <v>286</v>
      </c>
      <c r="C19" s="86">
        <v>1</v>
      </c>
      <c r="D19" s="86">
        <v>12</v>
      </c>
      <c r="E19" s="86">
        <v>237</v>
      </c>
      <c r="F19" s="87">
        <f t="shared" si="0"/>
        <v>12</v>
      </c>
      <c r="G19" s="86"/>
      <c r="H19" s="87">
        <f t="shared" si="1"/>
        <v>0</v>
      </c>
      <c r="I19" s="86"/>
      <c r="J19" s="86"/>
      <c r="K19" s="86"/>
      <c r="L19" s="100">
        <f>E19*F19</f>
        <v>2844</v>
      </c>
      <c r="M19" s="86"/>
      <c r="N19" s="86"/>
      <c r="O19" s="86"/>
      <c r="P19" s="86"/>
    </row>
    <row r="20" spans="1:16">
      <c r="A20" s="57"/>
      <c r="B20" s="85" t="s">
        <v>293</v>
      </c>
      <c r="C20" s="86">
        <v>3.5</v>
      </c>
      <c r="D20" s="86">
        <v>12</v>
      </c>
      <c r="E20" s="86">
        <v>237</v>
      </c>
      <c r="F20" s="87">
        <f t="shared" si="0"/>
        <v>42</v>
      </c>
      <c r="G20" s="86"/>
      <c r="H20" s="87">
        <f t="shared" si="1"/>
        <v>0</v>
      </c>
      <c r="I20" s="86"/>
      <c r="J20" s="86"/>
      <c r="K20" s="86"/>
      <c r="L20" s="100">
        <f>E20*F20</f>
        <v>9954</v>
      </c>
      <c r="M20" s="86"/>
      <c r="N20" s="86"/>
      <c r="O20" s="86"/>
      <c r="P20" s="86"/>
    </row>
    <row r="21" spans="1:16">
      <c r="A21" s="57"/>
      <c r="B21" s="85" t="s">
        <v>291</v>
      </c>
      <c r="C21" s="86"/>
      <c r="D21" s="86"/>
      <c r="E21" s="86"/>
      <c r="F21" s="87">
        <f t="shared" si="0"/>
        <v>0</v>
      </c>
      <c r="G21" s="86"/>
      <c r="H21" s="87">
        <f t="shared" si="1"/>
        <v>0</v>
      </c>
      <c r="I21" s="86"/>
      <c r="J21" s="86"/>
      <c r="K21" s="86"/>
      <c r="L21" s="100">
        <f>L19+L20</f>
        <v>12798</v>
      </c>
      <c r="M21" s="86"/>
      <c r="N21" s="86"/>
      <c r="O21" s="86"/>
      <c r="P21" s="86"/>
    </row>
    <row r="22" spans="1:16">
      <c r="A22" s="95"/>
      <c r="B22" s="101" t="s">
        <v>296</v>
      </c>
      <c r="C22" s="95"/>
      <c r="D22" s="95"/>
      <c r="E22" s="95"/>
      <c r="F22" s="95">
        <f t="shared" si="0"/>
        <v>0</v>
      </c>
      <c r="G22" s="95"/>
      <c r="H22" s="95">
        <f t="shared" si="1"/>
        <v>0</v>
      </c>
      <c r="I22" s="95"/>
      <c r="J22" s="95"/>
      <c r="K22" s="95"/>
      <c r="L22" s="101">
        <f>L17+L21</f>
        <v>19368</v>
      </c>
      <c r="M22" s="95"/>
      <c r="N22" s="95"/>
      <c r="O22" s="95"/>
      <c r="P22" s="95">
        <f>L22</f>
        <v>19368</v>
      </c>
    </row>
    <row r="23" spans="1:16">
      <c r="B23" s="412" t="s">
        <v>299</v>
      </c>
      <c r="C23" s="413"/>
      <c r="D23" s="413"/>
      <c r="E23" s="413"/>
      <c r="F23" s="413"/>
      <c r="G23" s="413"/>
      <c r="H23" s="413"/>
      <c r="I23" s="413"/>
      <c r="J23" s="414"/>
    </row>
    <row r="24" spans="1:16">
      <c r="B24" s="412"/>
      <c r="C24" s="413"/>
      <c r="D24" s="413"/>
      <c r="E24" s="413"/>
      <c r="F24" s="413"/>
      <c r="G24" s="413"/>
      <c r="H24" s="413"/>
      <c r="I24" s="413"/>
      <c r="J24" s="414"/>
    </row>
    <row r="25" spans="1:16">
      <c r="B25" s="47"/>
      <c r="C25" s="415" t="s">
        <v>300</v>
      </c>
      <c r="D25" s="415"/>
      <c r="E25" s="415" t="s">
        <v>301</v>
      </c>
      <c r="F25" s="415"/>
      <c r="G25" s="415" t="s">
        <v>302</v>
      </c>
      <c r="H25" s="415"/>
      <c r="I25" s="29"/>
      <c r="J25" s="102"/>
    </row>
    <row r="26" spans="1:16">
      <c r="B26" s="47"/>
      <c r="C26" s="410">
        <v>246</v>
      </c>
      <c r="D26" s="410"/>
      <c r="E26" s="410">
        <v>306</v>
      </c>
      <c r="F26" s="410"/>
      <c r="G26" s="410">
        <v>70</v>
      </c>
      <c r="H26" s="410"/>
      <c r="I26" s="29"/>
      <c r="J26" s="102"/>
    </row>
    <row r="27" spans="1:16">
      <c r="B27" s="47"/>
      <c r="C27" s="411">
        <v>11.69</v>
      </c>
      <c r="D27" s="411"/>
      <c r="E27" s="411">
        <v>0</v>
      </c>
      <c r="F27" s="411"/>
      <c r="G27" s="411">
        <v>0</v>
      </c>
      <c r="H27" s="411"/>
      <c r="I27" s="29"/>
      <c r="J27" s="102"/>
    </row>
    <row r="28" spans="1:16">
      <c r="B28" s="47"/>
      <c r="C28" s="416">
        <v>3.06</v>
      </c>
      <c r="D28" s="416"/>
      <c r="E28" s="416">
        <v>0</v>
      </c>
      <c r="F28" s="416"/>
      <c r="G28" s="416">
        <v>0</v>
      </c>
      <c r="H28" s="416"/>
      <c r="I28" s="29"/>
      <c r="J28" s="102"/>
    </row>
    <row r="29" spans="1:16" ht="15.75" thickBot="1">
      <c r="B29" s="49"/>
      <c r="C29" s="103"/>
      <c r="D29" s="103"/>
      <c r="E29" s="103"/>
      <c r="F29" s="103"/>
      <c r="G29" s="409">
        <f>C28+E28+G28</f>
        <v>3.06</v>
      </c>
      <c r="H29" s="409"/>
      <c r="I29" s="50"/>
      <c r="J29" s="104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honeticPr fontId="3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</cols>
  <sheetData>
    <row r="1" spans="1:14" ht="18.75">
      <c r="A1" s="136" t="s">
        <v>314</v>
      </c>
    </row>
    <row r="2" spans="1:14" ht="18.75">
      <c r="A2" s="136"/>
    </row>
    <row r="3" spans="1:14" ht="15.75">
      <c r="A3" s="137"/>
    </row>
    <row r="4" spans="1:14" ht="18.75">
      <c r="A4" s="138" t="s">
        <v>336</v>
      </c>
    </row>
    <row r="5" spans="1:14" ht="19.5" thickBot="1">
      <c r="A5" s="138"/>
    </row>
    <row r="6" spans="1:14">
      <c r="A6" s="425" t="s">
        <v>160</v>
      </c>
      <c r="B6" s="425" t="s">
        <v>315</v>
      </c>
      <c r="C6" s="428" t="s">
        <v>316</v>
      </c>
      <c r="D6" s="428" t="s">
        <v>317</v>
      </c>
      <c r="E6" s="425" t="s">
        <v>318</v>
      </c>
      <c r="F6" s="425" t="s">
        <v>319</v>
      </c>
      <c r="G6" s="425" t="s">
        <v>320</v>
      </c>
      <c r="H6" s="425" t="s">
        <v>321</v>
      </c>
      <c r="I6" s="425" t="s">
        <v>322</v>
      </c>
      <c r="J6" s="425" t="s">
        <v>323</v>
      </c>
      <c r="K6" s="425" t="s">
        <v>324</v>
      </c>
      <c r="L6" s="425" t="s">
        <v>325</v>
      </c>
      <c r="M6" s="425" t="s">
        <v>326</v>
      </c>
      <c r="N6" s="425" t="s">
        <v>327</v>
      </c>
    </row>
    <row r="7" spans="1:14" ht="15.75" thickBot="1">
      <c r="A7" s="426"/>
      <c r="B7" s="426"/>
      <c r="C7" s="429"/>
      <c r="D7" s="429"/>
      <c r="E7" s="426"/>
      <c r="F7" s="426"/>
      <c r="G7" s="426"/>
      <c r="H7" s="426"/>
      <c r="I7" s="426"/>
      <c r="J7" s="426"/>
      <c r="K7" s="426"/>
      <c r="L7" s="426"/>
      <c r="M7" s="426"/>
      <c r="N7" s="426"/>
    </row>
    <row r="8" spans="1:14" ht="16.5" thickBot="1">
      <c r="A8" s="139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</row>
    <row r="9" spans="1:14" ht="16.5" thickBot="1">
      <c r="A9" s="421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2"/>
    </row>
    <row r="10" spans="1:14" ht="16.5" thickBot="1">
      <c r="A10" s="139">
        <v>1</v>
      </c>
      <c r="B10" s="140" t="s">
        <v>328</v>
      </c>
      <c r="C10" s="140">
        <v>1</v>
      </c>
      <c r="D10" s="140">
        <v>18</v>
      </c>
      <c r="E10" s="140">
        <v>4.5</v>
      </c>
      <c r="F10" s="140">
        <v>22649.13</v>
      </c>
      <c r="G10" s="140">
        <v>1.4</v>
      </c>
      <c r="H10" s="140">
        <f>F10*12.5%</f>
        <v>2831.1412500000001</v>
      </c>
      <c r="I10" s="423">
        <f>(F10+H10)*60%</f>
        <v>15288.16275</v>
      </c>
      <c r="J10" s="424"/>
      <c r="K10" s="140">
        <f t="shared" ref="K10:K16" si="0">F10+H10+I10</f>
        <v>40768.434000000001</v>
      </c>
      <c r="L10" s="140">
        <f t="shared" ref="L10:L16" si="1">K10*C10</f>
        <v>40768.434000000001</v>
      </c>
      <c r="M10" s="140">
        <f>L10*14</f>
        <v>570758.076</v>
      </c>
      <c r="N10" s="140"/>
    </row>
    <row r="11" spans="1:14" ht="16.5" thickBot="1">
      <c r="A11" s="139">
        <v>2</v>
      </c>
      <c r="B11" s="140" t="s">
        <v>329</v>
      </c>
      <c r="C11" s="140">
        <v>0.5</v>
      </c>
      <c r="D11" s="140">
        <v>16</v>
      </c>
      <c r="E11" s="140">
        <v>3.9</v>
      </c>
      <c r="F11" s="140">
        <v>19629.25</v>
      </c>
      <c r="G11" s="140">
        <v>1.4</v>
      </c>
      <c r="H11" s="140">
        <f t="shared" ref="H11:H16" si="2">F11*12.5%</f>
        <v>2453.65625</v>
      </c>
      <c r="I11" s="423">
        <f t="shared" ref="I11:I16" si="3">(F11+H11)*60%</f>
        <v>13249.74375</v>
      </c>
      <c r="J11" s="424"/>
      <c r="K11" s="140">
        <f t="shared" si="0"/>
        <v>35332.65</v>
      </c>
      <c r="L11" s="140">
        <f t="shared" si="1"/>
        <v>17666.325000000001</v>
      </c>
      <c r="M11" s="140">
        <f t="shared" ref="M11:M16" si="4">L11*14</f>
        <v>247328.55000000002</v>
      </c>
      <c r="N11" s="140"/>
    </row>
    <row r="12" spans="1:14" ht="16.5" thickBot="1">
      <c r="A12" s="139">
        <v>3</v>
      </c>
      <c r="B12" s="140" t="s">
        <v>330</v>
      </c>
      <c r="C12" s="140">
        <v>0.5</v>
      </c>
      <c r="D12" s="140">
        <v>16</v>
      </c>
      <c r="E12" s="140">
        <v>3.9</v>
      </c>
      <c r="F12" s="140">
        <v>19629.25</v>
      </c>
      <c r="G12" s="140">
        <v>1.4</v>
      </c>
      <c r="H12" s="140">
        <f t="shared" si="2"/>
        <v>2453.65625</v>
      </c>
      <c r="I12" s="423">
        <f t="shared" si="3"/>
        <v>13249.74375</v>
      </c>
      <c r="J12" s="424"/>
      <c r="K12" s="140">
        <f t="shared" si="0"/>
        <v>35332.65</v>
      </c>
      <c r="L12" s="140">
        <f t="shared" si="1"/>
        <v>17666.325000000001</v>
      </c>
      <c r="M12" s="140">
        <f t="shared" si="4"/>
        <v>247328.55000000002</v>
      </c>
      <c r="N12" s="140"/>
    </row>
    <row r="13" spans="1:14" ht="16.5" thickBot="1">
      <c r="A13" s="139">
        <v>4</v>
      </c>
      <c r="B13" s="140" t="s">
        <v>331</v>
      </c>
      <c r="C13" s="140">
        <v>0.4</v>
      </c>
      <c r="D13" s="140">
        <v>11</v>
      </c>
      <c r="E13" s="140">
        <v>2.68</v>
      </c>
      <c r="F13" s="140">
        <v>13488.81</v>
      </c>
      <c r="G13" s="140">
        <v>1.4</v>
      </c>
      <c r="H13" s="140">
        <f t="shared" si="2"/>
        <v>1686.1012499999999</v>
      </c>
      <c r="I13" s="423">
        <f t="shared" si="3"/>
        <v>9104.9467499999992</v>
      </c>
      <c r="J13" s="424"/>
      <c r="K13" s="140">
        <f t="shared" si="0"/>
        <v>24279.858</v>
      </c>
      <c r="L13" s="140">
        <f t="shared" si="1"/>
        <v>9711.9431999999997</v>
      </c>
      <c r="M13" s="140">
        <f t="shared" si="4"/>
        <v>135967.20480000001</v>
      </c>
      <c r="N13" s="140"/>
    </row>
    <row r="14" spans="1:14" ht="16.5" thickBot="1">
      <c r="A14" s="139">
        <v>5</v>
      </c>
      <c r="B14" s="140" t="s">
        <v>335</v>
      </c>
      <c r="C14" s="140">
        <v>0.2</v>
      </c>
      <c r="D14" s="140">
        <v>9</v>
      </c>
      <c r="E14" s="140"/>
      <c r="F14" s="140">
        <v>11072.91</v>
      </c>
      <c r="G14" s="140"/>
      <c r="H14" s="140">
        <f t="shared" si="2"/>
        <v>1384.11375</v>
      </c>
      <c r="I14" s="423">
        <f t="shared" si="3"/>
        <v>7474.21425</v>
      </c>
      <c r="J14" s="424"/>
      <c r="K14" s="140">
        <f t="shared" si="0"/>
        <v>19931.238000000001</v>
      </c>
      <c r="L14" s="140">
        <f t="shared" si="1"/>
        <v>3986.2476000000006</v>
      </c>
      <c r="M14" s="140">
        <f t="shared" si="4"/>
        <v>55807.466400000005</v>
      </c>
      <c r="N14" s="140"/>
    </row>
    <row r="15" spans="1:14" ht="16.5" thickBot="1">
      <c r="A15" s="139">
        <v>6</v>
      </c>
      <c r="B15" s="140" t="s">
        <v>332</v>
      </c>
      <c r="C15" s="140">
        <v>0.2</v>
      </c>
      <c r="D15" s="140">
        <v>4</v>
      </c>
      <c r="E15" s="140">
        <v>1.36</v>
      </c>
      <c r="F15" s="140">
        <v>6845.07</v>
      </c>
      <c r="G15" s="140">
        <v>1.4</v>
      </c>
      <c r="H15" s="140">
        <f t="shared" si="2"/>
        <v>855.63374999999996</v>
      </c>
      <c r="I15" s="423">
        <f t="shared" si="3"/>
        <v>4620.4222499999996</v>
      </c>
      <c r="J15" s="424"/>
      <c r="K15" s="140">
        <f t="shared" si="0"/>
        <v>12321.126</v>
      </c>
      <c r="L15" s="140">
        <f t="shared" si="1"/>
        <v>2464.2252000000003</v>
      </c>
      <c r="M15" s="140">
        <f t="shared" si="4"/>
        <v>34499.152800000003</v>
      </c>
      <c r="N15" s="140"/>
    </row>
    <row r="16" spans="1:14" ht="63.75" thickBot="1">
      <c r="A16" s="139">
        <v>7</v>
      </c>
      <c r="B16" s="140" t="s">
        <v>333</v>
      </c>
      <c r="C16" s="140">
        <v>0.2</v>
      </c>
      <c r="D16" s="140">
        <v>4</v>
      </c>
      <c r="E16" s="140">
        <v>1.36</v>
      </c>
      <c r="F16" s="140">
        <v>6845.07</v>
      </c>
      <c r="G16" s="140">
        <v>1.4</v>
      </c>
      <c r="H16" s="140">
        <f t="shared" si="2"/>
        <v>855.63374999999996</v>
      </c>
      <c r="I16" s="423">
        <f t="shared" si="3"/>
        <v>4620.4222499999996</v>
      </c>
      <c r="J16" s="424"/>
      <c r="K16" s="140">
        <f t="shared" si="0"/>
        <v>12321.126</v>
      </c>
      <c r="L16" s="140">
        <f t="shared" si="1"/>
        <v>2464.2252000000003</v>
      </c>
      <c r="M16" s="140">
        <f t="shared" si="4"/>
        <v>34499.152800000003</v>
      </c>
      <c r="N16" s="140"/>
    </row>
    <row r="17" spans="1:14" ht="16.5" thickBot="1">
      <c r="A17" s="141"/>
      <c r="B17" s="142" t="s">
        <v>334</v>
      </c>
      <c r="C17" s="142">
        <f>C10+C11+C12+C13+C15+C16+C14</f>
        <v>3.0000000000000004</v>
      </c>
      <c r="D17" s="142"/>
      <c r="E17" s="142"/>
      <c r="F17" s="142"/>
      <c r="G17" s="142"/>
      <c r="H17" s="142"/>
      <c r="I17" s="421"/>
      <c r="J17" s="422"/>
      <c r="K17" s="142">
        <f>K10+K11+K12+K13+K15+K16</f>
        <v>160355.84399999998</v>
      </c>
      <c r="L17" s="142"/>
      <c r="M17" s="142">
        <f>M10+M11+M12+M13+M14+M15+M16</f>
        <v>1326188.1528</v>
      </c>
      <c r="N17" s="142"/>
    </row>
    <row r="18" spans="1:14" ht="18.75">
      <c r="A18" s="143"/>
    </row>
    <row r="19" spans="1:14" ht="18.75">
      <c r="A19" s="143"/>
      <c r="M19">
        <f>1326.188*0.302</f>
        <v>400.50877600000001</v>
      </c>
    </row>
    <row r="20" spans="1:14" ht="18.75">
      <c r="A20" s="144"/>
      <c r="M20">
        <f>M17+M19</f>
        <v>1326588.661576</v>
      </c>
    </row>
  </sheetData>
  <mergeCells count="23">
    <mergeCell ref="G6:G7"/>
    <mergeCell ref="H6:H7"/>
    <mergeCell ref="N6:N7"/>
    <mergeCell ref="A9:N9"/>
    <mergeCell ref="A6:A7"/>
    <mergeCell ref="B6:B7"/>
    <mergeCell ref="C6:C7"/>
    <mergeCell ref="F6:F7"/>
    <mergeCell ref="D6:D7"/>
    <mergeCell ref="E6:E7"/>
    <mergeCell ref="I17:J17"/>
    <mergeCell ref="I14:J14"/>
    <mergeCell ref="M6:M7"/>
    <mergeCell ref="I15:J15"/>
    <mergeCell ref="I12:J12"/>
    <mergeCell ref="I11:J11"/>
    <mergeCell ref="I16:J16"/>
    <mergeCell ref="I6:I7"/>
    <mergeCell ref="J6:J7"/>
    <mergeCell ref="I10:J10"/>
    <mergeCell ref="I13:J13"/>
    <mergeCell ref="K6:K7"/>
    <mergeCell ref="L6:L7"/>
  </mergeCells>
  <phoneticPr fontId="38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topLeftCell="A48" workbookViewId="0">
      <selection activeCell="N63" sqref="N63"/>
    </sheetView>
  </sheetViews>
  <sheetFormatPr defaultRowHeight="15"/>
  <cols>
    <col min="1" max="1" width="6.140625" customWidth="1"/>
    <col min="2" max="2" width="36.7109375" customWidth="1"/>
    <col min="3" max="5" width="20.7109375" customWidth="1"/>
  </cols>
  <sheetData>
    <row r="1" spans="1:5" ht="15.75" hidden="1">
      <c r="A1" s="431" t="s">
        <v>337</v>
      </c>
      <c r="B1" s="431"/>
      <c r="C1" s="431"/>
      <c r="D1" s="431"/>
      <c r="E1" s="431"/>
    </row>
    <row r="2" spans="1:5" ht="15.75" hidden="1">
      <c r="A2" s="431" t="s">
        <v>338</v>
      </c>
      <c r="B2" s="431"/>
      <c r="C2" s="431"/>
      <c r="D2" s="431"/>
      <c r="E2" s="431"/>
    </row>
    <row r="3" spans="1:5" ht="15.75" hidden="1">
      <c r="A3" s="431"/>
      <c r="B3" s="431"/>
      <c r="C3" s="431"/>
      <c r="D3" s="431"/>
      <c r="E3" s="431"/>
    </row>
    <row r="4" spans="1:5" ht="15.75" hidden="1" thickBot="1"/>
    <row r="5" spans="1:5" s="154" customFormat="1" ht="38.25" hidden="1">
      <c r="A5" s="149"/>
      <c r="B5" s="150"/>
      <c r="C5" s="151" t="s">
        <v>339</v>
      </c>
      <c r="D5" s="152" t="s">
        <v>340</v>
      </c>
      <c r="E5" s="153" t="s">
        <v>341</v>
      </c>
    </row>
    <row r="6" spans="1:5" s="154" customFormat="1" ht="25.5" hidden="1">
      <c r="A6" s="155">
        <v>1</v>
      </c>
      <c r="B6" s="156" t="s">
        <v>342</v>
      </c>
      <c r="C6" s="157"/>
      <c r="D6" s="157"/>
      <c r="E6" s="158"/>
    </row>
    <row r="7" spans="1:5" hidden="1">
      <c r="A7" s="159" t="s">
        <v>343</v>
      </c>
      <c r="B7" s="56" t="s">
        <v>344</v>
      </c>
      <c r="C7" s="57">
        <v>17.556999999999999</v>
      </c>
      <c r="D7" s="57">
        <v>70</v>
      </c>
      <c r="E7" s="160">
        <f>ROUND(C7*D7/1000,2)</f>
        <v>1.23</v>
      </c>
    </row>
    <row r="8" spans="1:5" ht="30" hidden="1">
      <c r="A8" s="159" t="s">
        <v>345</v>
      </c>
      <c r="B8" s="56" t="s">
        <v>346</v>
      </c>
      <c r="C8" s="57">
        <v>3.9889999999999999</v>
      </c>
      <c r="D8" s="57">
        <v>246</v>
      </c>
      <c r="E8" s="160">
        <f>ROUND(C8*D8/1000,2)</f>
        <v>0.98</v>
      </c>
    </row>
    <row r="9" spans="1:5" s="154" customFormat="1" ht="12.75" hidden="1">
      <c r="A9" s="155"/>
      <c r="B9" s="156" t="s">
        <v>347</v>
      </c>
      <c r="C9" s="157">
        <f>C7+C8</f>
        <v>21.545999999999999</v>
      </c>
      <c r="D9" s="157"/>
      <c r="E9" s="158">
        <f>E7+E8</f>
        <v>2.21</v>
      </c>
    </row>
    <row r="10" spans="1:5" s="154" customFormat="1" ht="13.5" hidden="1" thickBot="1">
      <c r="A10" s="161"/>
      <c r="B10" s="162" t="s">
        <v>348</v>
      </c>
      <c r="C10" s="163">
        <f>C9</f>
        <v>21.545999999999999</v>
      </c>
      <c r="D10" s="163"/>
      <c r="E10" s="164">
        <f>E9</f>
        <v>2.21</v>
      </c>
    </row>
    <row r="11" spans="1:5" hidden="1">
      <c r="A11" s="165"/>
      <c r="B11" s="165"/>
      <c r="C11" s="165"/>
      <c r="D11" s="165"/>
      <c r="E11" s="165"/>
    </row>
    <row r="12" spans="1:5" hidden="1">
      <c r="A12" s="432" t="s">
        <v>349</v>
      </c>
      <c r="B12" s="432"/>
      <c r="C12" s="432"/>
      <c r="D12" s="432"/>
      <c r="E12" s="432"/>
    </row>
    <row r="13" spans="1:5" hidden="1">
      <c r="A13" s="166"/>
      <c r="B13" s="166"/>
      <c r="C13" s="166"/>
      <c r="D13" s="166"/>
      <c r="E13" s="166"/>
    </row>
    <row r="14" spans="1:5" hidden="1"/>
    <row r="15" spans="1:5" s="168" customFormat="1" hidden="1">
      <c r="A15" s="434" t="s">
        <v>350</v>
      </c>
      <c r="B15" s="434"/>
      <c r="C15" s="430" t="s">
        <v>351</v>
      </c>
      <c r="D15" s="430"/>
      <c r="E15" s="167" t="s">
        <v>352</v>
      </c>
    </row>
    <row r="16" spans="1:5" hidden="1">
      <c r="C16" s="433" t="s">
        <v>353</v>
      </c>
      <c r="D16" s="433"/>
    </row>
    <row r="17" spans="1:6" hidden="1"/>
    <row r="18" spans="1:6" hidden="1"/>
    <row r="19" spans="1:6" hidden="1"/>
    <row r="20" spans="1:6" hidden="1"/>
    <row r="21" spans="1:6" hidden="1"/>
    <row r="22" spans="1:6" hidden="1"/>
    <row r="23" spans="1:6" ht="15.75" hidden="1">
      <c r="A23" s="431" t="s">
        <v>337</v>
      </c>
      <c r="B23" s="431"/>
      <c r="C23" s="431"/>
      <c r="D23" s="431"/>
      <c r="E23" s="431"/>
    </row>
    <row r="24" spans="1:6" ht="15.75" hidden="1">
      <c r="A24" s="431" t="s">
        <v>354</v>
      </c>
      <c r="B24" s="431"/>
      <c r="C24" s="431"/>
      <c r="D24" s="431"/>
      <c r="E24" s="431"/>
    </row>
    <row r="25" spans="1:6" ht="15.75" hidden="1">
      <c r="A25" s="431"/>
      <c r="B25" s="431"/>
      <c r="C25" s="431"/>
      <c r="D25" s="431"/>
      <c r="E25" s="431"/>
    </row>
    <row r="26" spans="1:6" ht="15.75" hidden="1" thickBot="1"/>
    <row r="27" spans="1:6" ht="38.25" hidden="1">
      <c r="A27" s="149"/>
      <c r="B27" s="150"/>
      <c r="C27" s="151" t="s">
        <v>339</v>
      </c>
      <c r="D27" s="152" t="s">
        <v>340</v>
      </c>
      <c r="E27" s="153" t="s">
        <v>341</v>
      </c>
    </row>
    <row r="28" spans="1:6" ht="25.5" hidden="1">
      <c r="A28" s="155">
        <v>1</v>
      </c>
      <c r="B28" s="156" t="s">
        <v>342</v>
      </c>
      <c r="C28" s="157"/>
      <c r="D28" s="157"/>
      <c r="E28" s="158"/>
    </row>
    <row r="29" spans="1:6" hidden="1">
      <c r="A29" s="159" t="s">
        <v>343</v>
      </c>
      <c r="B29" s="56" t="s">
        <v>344</v>
      </c>
      <c r="C29" s="57">
        <v>22.242000000000001</v>
      </c>
      <c r="D29" s="57">
        <v>70</v>
      </c>
      <c r="E29" s="160">
        <f>ROUND(C29*D29/1000,2)</f>
        <v>1.56</v>
      </c>
      <c r="F29">
        <v>12.845000000000001</v>
      </c>
    </row>
    <row r="30" spans="1:6" ht="33.75" hidden="1" customHeight="1">
      <c r="A30" s="159" t="s">
        <v>345</v>
      </c>
      <c r="B30" s="56" t="s">
        <v>346</v>
      </c>
      <c r="C30" s="57">
        <v>5.0490000000000004</v>
      </c>
      <c r="D30" s="57">
        <v>246</v>
      </c>
      <c r="E30" s="160">
        <f>ROUND(C30*D30/1000,2)</f>
        <v>1.24</v>
      </c>
      <c r="F30">
        <v>3.0550000000000002</v>
      </c>
    </row>
    <row r="31" spans="1:6" ht="15.75" hidden="1" customHeight="1">
      <c r="A31" s="155"/>
      <c r="B31" s="156" t="s">
        <v>347</v>
      </c>
      <c r="C31" s="157">
        <f>C29+C30</f>
        <v>27.291</v>
      </c>
      <c r="D31" s="157"/>
      <c r="E31" s="158">
        <f>E29+E30</f>
        <v>2.8</v>
      </c>
    </row>
    <row r="32" spans="1:6" ht="21" hidden="1" customHeight="1" thickBot="1">
      <c r="A32" s="161"/>
      <c r="B32" s="162" t="s">
        <v>348</v>
      </c>
      <c r="C32" s="163">
        <f>C31</f>
        <v>27.291</v>
      </c>
      <c r="D32" s="163"/>
      <c r="E32" s="164">
        <f>E31</f>
        <v>2.8</v>
      </c>
    </row>
    <row r="33" spans="1:5" hidden="1">
      <c r="A33" s="165"/>
      <c r="B33" s="165"/>
      <c r="C33" s="165"/>
      <c r="D33" s="165"/>
      <c r="E33" s="165"/>
    </row>
    <row r="34" spans="1:5" hidden="1">
      <c r="A34" s="432" t="s">
        <v>349</v>
      </c>
      <c r="B34" s="432"/>
      <c r="C34" s="432"/>
      <c r="D34" s="432"/>
      <c r="E34" s="432"/>
    </row>
    <row r="35" spans="1:5" hidden="1">
      <c r="A35" s="166"/>
      <c r="B35" s="166"/>
      <c r="C35" s="166"/>
      <c r="D35" s="166"/>
      <c r="E35" s="166"/>
    </row>
    <row r="36" spans="1:5" hidden="1"/>
    <row r="37" spans="1:5" ht="15.75" hidden="1">
      <c r="A37" s="434" t="s">
        <v>350</v>
      </c>
      <c r="B37" s="434"/>
      <c r="C37" s="430" t="s">
        <v>351</v>
      </c>
      <c r="D37" s="430"/>
      <c r="E37" s="167" t="s">
        <v>355</v>
      </c>
    </row>
    <row r="38" spans="1:5" hidden="1">
      <c r="C38" s="433" t="s">
        <v>353</v>
      </c>
      <c r="D38" s="433"/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9" spans="1:5" ht="15.75">
      <c r="A49" s="431" t="s">
        <v>337</v>
      </c>
      <c r="B49" s="431"/>
      <c r="C49" s="431"/>
      <c r="D49" s="431"/>
      <c r="E49" s="431"/>
    </row>
    <row r="50" spans="1:5" ht="15.75">
      <c r="A50" s="431" t="s">
        <v>354</v>
      </c>
      <c r="B50" s="431"/>
      <c r="C50" s="431"/>
      <c r="D50" s="431"/>
      <c r="E50" s="431"/>
    </row>
    <row r="51" spans="1:5" ht="15.75">
      <c r="A51" s="431"/>
      <c r="B51" s="431"/>
      <c r="C51" s="431"/>
      <c r="D51" s="431"/>
      <c r="E51" s="431"/>
    </row>
    <row r="52" spans="1:5" ht="15.75" thickBot="1"/>
    <row r="53" spans="1:5" ht="38.25">
      <c r="A53" s="149"/>
      <c r="B53" s="150"/>
      <c r="C53" s="151" t="s">
        <v>339</v>
      </c>
      <c r="D53" s="152" t="s">
        <v>340</v>
      </c>
      <c r="E53" s="153" t="s">
        <v>341</v>
      </c>
    </row>
    <row r="54" spans="1:5" ht="25.5">
      <c r="A54" s="155">
        <v>1</v>
      </c>
      <c r="B54" s="156" t="s">
        <v>342</v>
      </c>
      <c r="C54" s="157"/>
      <c r="D54" s="157"/>
      <c r="E54" s="158"/>
    </row>
    <row r="55" spans="1:5">
      <c r="A55" s="159" t="s">
        <v>343</v>
      </c>
      <c r="B55" s="56" t="s">
        <v>344</v>
      </c>
      <c r="C55" s="57">
        <v>11.69</v>
      </c>
      <c r="D55" s="57">
        <v>70</v>
      </c>
      <c r="E55" s="160">
        <f>ROUND(C55*D55/1000,2)</f>
        <v>0.82</v>
      </c>
    </row>
    <row r="56" spans="1:5" ht="30">
      <c r="A56" s="159" t="s">
        <v>345</v>
      </c>
      <c r="B56" s="56" t="s">
        <v>346</v>
      </c>
      <c r="C56" s="57">
        <v>14.446999999999999</v>
      </c>
      <c r="D56" s="57">
        <v>246</v>
      </c>
      <c r="E56" s="160">
        <f>ROUND(C56*D56/1000,2)</f>
        <v>3.55</v>
      </c>
    </row>
    <row r="57" spans="1:5">
      <c r="A57" s="155"/>
      <c r="B57" s="156" t="s">
        <v>347</v>
      </c>
      <c r="C57" s="157">
        <f>C55+C56</f>
        <v>26.137</v>
      </c>
      <c r="D57" s="157"/>
      <c r="E57" s="158">
        <f>E55+E56</f>
        <v>4.37</v>
      </c>
    </row>
    <row r="58" spans="1:5" ht="15.75" thickBot="1">
      <c r="A58" s="161"/>
      <c r="B58" s="162" t="s">
        <v>348</v>
      </c>
      <c r="C58" s="163">
        <f>C57</f>
        <v>26.137</v>
      </c>
      <c r="D58" s="163"/>
      <c r="E58" s="164">
        <f>E57</f>
        <v>4.37</v>
      </c>
    </row>
    <row r="59" spans="1:5">
      <c r="A59" s="165"/>
      <c r="B59" s="165"/>
      <c r="C59" s="165"/>
      <c r="D59" s="165"/>
      <c r="E59" s="165"/>
    </row>
    <row r="60" spans="1:5">
      <c r="A60" s="432" t="s">
        <v>349</v>
      </c>
      <c r="B60" s="432"/>
      <c r="C60" s="432"/>
      <c r="D60" s="432"/>
      <c r="E60" s="432"/>
    </row>
    <row r="61" spans="1:5">
      <c r="A61" s="166"/>
      <c r="B61" s="166"/>
      <c r="C61" s="166"/>
      <c r="D61" s="166"/>
      <c r="E61" s="166"/>
    </row>
    <row r="63" spans="1:5" ht="15.75">
      <c r="A63" s="434"/>
      <c r="B63" s="434"/>
      <c r="C63" s="430"/>
      <c r="D63" s="430"/>
      <c r="E63" s="167"/>
    </row>
    <row r="64" spans="1:5">
      <c r="C64" s="433"/>
      <c r="D64" s="433"/>
    </row>
  </sheetData>
  <mergeCells count="21">
    <mergeCell ref="A1:E1"/>
    <mergeCell ref="A2:E2"/>
    <mergeCell ref="A3:E3"/>
    <mergeCell ref="A12:E12"/>
    <mergeCell ref="A37:B37"/>
    <mergeCell ref="C37:D37"/>
    <mergeCell ref="A15:B15"/>
    <mergeCell ref="C15:D15"/>
    <mergeCell ref="C16:D16"/>
    <mergeCell ref="A24:E24"/>
    <mergeCell ref="C63:D63"/>
    <mergeCell ref="A25:E25"/>
    <mergeCell ref="A34:E34"/>
    <mergeCell ref="A23:E23"/>
    <mergeCell ref="C64:D64"/>
    <mergeCell ref="C38:D38"/>
    <mergeCell ref="A49:E49"/>
    <mergeCell ref="A50:E50"/>
    <mergeCell ref="A51:E51"/>
    <mergeCell ref="A60:E60"/>
    <mergeCell ref="A63:B63"/>
  </mergeCells>
  <phoneticPr fontId="3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I9" sqref="I9"/>
    </sheetView>
  </sheetViews>
  <sheetFormatPr defaultRowHeight="12.75"/>
  <cols>
    <col min="1" max="1" width="6.5703125" style="330" customWidth="1"/>
    <col min="2" max="2" width="36.28515625" style="330" customWidth="1"/>
    <col min="3" max="3" width="13.28515625" style="330" customWidth="1"/>
    <col min="4" max="4" width="13.140625" style="330" customWidth="1"/>
    <col min="5" max="5" width="15" style="330" customWidth="1"/>
    <col min="6" max="6" width="22" style="330" customWidth="1"/>
    <col min="7" max="256" width="9.140625" style="330"/>
    <col min="257" max="257" width="6.5703125" style="330" customWidth="1"/>
    <col min="258" max="258" width="36.28515625" style="330" customWidth="1"/>
    <col min="259" max="259" width="13.28515625" style="330" customWidth="1"/>
    <col min="260" max="260" width="13.140625" style="330" customWidth="1"/>
    <col min="261" max="261" width="15" style="330" customWidth="1"/>
    <col min="262" max="262" width="22" style="330" customWidth="1"/>
    <col min="263" max="512" width="9.140625" style="330"/>
    <col min="513" max="513" width="6.5703125" style="330" customWidth="1"/>
    <col min="514" max="514" width="36.28515625" style="330" customWidth="1"/>
    <col min="515" max="515" width="13.28515625" style="330" customWidth="1"/>
    <col min="516" max="516" width="13.140625" style="330" customWidth="1"/>
    <col min="517" max="517" width="15" style="330" customWidth="1"/>
    <col min="518" max="518" width="22" style="330" customWidth="1"/>
    <col min="519" max="768" width="9.140625" style="330"/>
    <col min="769" max="769" width="6.5703125" style="330" customWidth="1"/>
    <col min="770" max="770" width="36.28515625" style="330" customWidth="1"/>
    <col min="771" max="771" width="13.28515625" style="330" customWidth="1"/>
    <col min="772" max="772" width="13.140625" style="330" customWidth="1"/>
    <col min="773" max="773" width="15" style="330" customWidth="1"/>
    <col min="774" max="774" width="22" style="330" customWidth="1"/>
    <col min="775" max="1024" width="9.140625" style="330"/>
    <col min="1025" max="1025" width="6.5703125" style="330" customWidth="1"/>
    <col min="1026" max="1026" width="36.28515625" style="330" customWidth="1"/>
    <col min="1027" max="1027" width="13.28515625" style="330" customWidth="1"/>
    <col min="1028" max="1028" width="13.140625" style="330" customWidth="1"/>
    <col min="1029" max="1029" width="15" style="330" customWidth="1"/>
    <col min="1030" max="1030" width="22" style="330" customWidth="1"/>
    <col min="1031" max="1280" width="9.140625" style="330"/>
    <col min="1281" max="1281" width="6.5703125" style="330" customWidth="1"/>
    <col min="1282" max="1282" width="36.28515625" style="330" customWidth="1"/>
    <col min="1283" max="1283" width="13.28515625" style="330" customWidth="1"/>
    <col min="1284" max="1284" width="13.140625" style="330" customWidth="1"/>
    <col min="1285" max="1285" width="15" style="330" customWidth="1"/>
    <col min="1286" max="1286" width="22" style="330" customWidth="1"/>
    <col min="1287" max="1536" width="9.140625" style="330"/>
    <col min="1537" max="1537" width="6.5703125" style="330" customWidth="1"/>
    <col min="1538" max="1538" width="36.28515625" style="330" customWidth="1"/>
    <col min="1539" max="1539" width="13.28515625" style="330" customWidth="1"/>
    <col min="1540" max="1540" width="13.140625" style="330" customWidth="1"/>
    <col min="1541" max="1541" width="15" style="330" customWidth="1"/>
    <col min="1542" max="1542" width="22" style="330" customWidth="1"/>
    <col min="1543" max="1792" width="9.140625" style="330"/>
    <col min="1793" max="1793" width="6.5703125" style="330" customWidth="1"/>
    <col min="1794" max="1794" width="36.28515625" style="330" customWidth="1"/>
    <col min="1795" max="1795" width="13.28515625" style="330" customWidth="1"/>
    <col min="1796" max="1796" width="13.140625" style="330" customWidth="1"/>
    <col min="1797" max="1797" width="15" style="330" customWidth="1"/>
    <col min="1798" max="1798" width="22" style="330" customWidth="1"/>
    <col min="1799" max="2048" width="9.140625" style="330"/>
    <col min="2049" max="2049" width="6.5703125" style="330" customWidth="1"/>
    <col min="2050" max="2050" width="36.28515625" style="330" customWidth="1"/>
    <col min="2051" max="2051" width="13.28515625" style="330" customWidth="1"/>
    <col min="2052" max="2052" width="13.140625" style="330" customWidth="1"/>
    <col min="2053" max="2053" width="15" style="330" customWidth="1"/>
    <col min="2054" max="2054" width="22" style="330" customWidth="1"/>
    <col min="2055" max="2304" width="9.140625" style="330"/>
    <col min="2305" max="2305" width="6.5703125" style="330" customWidth="1"/>
    <col min="2306" max="2306" width="36.28515625" style="330" customWidth="1"/>
    <col min="2307" max="2307" width="13.28515625" style="330" customWidth="1"/>
    <col min="2308" max="2308" width="13.140625" style="330" customWidth="1"/>
    <col min="2309" max="2309" width="15" style="330" customWidth="1"/>
    <col min="2310" max="2310" width="22" style="330" customWidth="1"/>
    <col min="2311" max="2560" width="9.140625" style="330"/>
    <col min="2561" max="2561" width="6.5703125" style="330" customWidth="1"/>
    <col min="2562" max="2562" width="36.28515625" style="330" customWidth="1"/>
    <col min="2563" max="2563" width="13.28515625" style="330" customWidth="1"/>
    <col min="2564" max="2564" width="13.140625" style="330" customWidth="1"/>
    <col min="2565" max="2565" width="15" style="330" customWidth="1"/>
    <col min="2566" max="2566" width="22" style="330" customWidth="1"/>
    <col min="2567" max="2816" width="9.140625" style="330"/>
    <col min="2817" max="2817" width="6.5703125" style="330" customWidth="1"/>
    <col min="2818" max="2818" width="36.28515625" style="330" customWidth="1"/>
    <col min="2819" max="2819" width="13.28515625" style="330" customWidth="1"/>
    <col min="2820" max="2820" width="13.140625" style="330" customWidth="1"/>
    <col min="2821" max="2821" width="15" style="330" customWidth="1"/>
    <col min="2822" max="2822" width="22" style="330" customWidth="1"/>
    <col min="2823" max="3072" width="9.140625" style="330"/>
    <col min="3073" max="3073" width="6.5703125" style="330" customWidth="1"/>
    <col min="3074" max="3074" width="36.28515625" style="330" customWidth="1"/>
    <col min="3075" max="3075" width="13.28515625" style="330" customWidth="1"/>
    <col min="3076" max="3076" width="13.140625" style="330" customWidth="1"/>
    <col min="3077" max="3077" width="15" style="330" customWidth="1"/>
    <col min="3078" max="3078" width="22" style="330" customWidth="1"/>
    <col min="3079" max="3328" width="9.140625" style="330"/>
    <col min="3329" max="3329" width="6.5703125" style="330" customWidth="1"/>
    <col min="3330" max="3330" width="36.28515625" style="330" customWidth="1"/>
    <col min="3331" max="3331" width="13.28515625" style="330" customWidth="1"/>
    <col min="3332" max="3332" width="13.140625" style="330" customWidth="1"/>
    <col min="3333" max="3333" width="15" style="330" customWidth="1"/>
    <col min="3334" max="3334" width="22" style="330" customWidth="1"/>
    <col min="3335" max="3584" width="9.140625" style="330"/>
    <col min="3585" max="3585" width="6.5703125" style="330" customWidth="1"/>
    <col min="3586" max="3586" width="36.28515625" style="330" customWidth="1"/>
    <col min="3587" max="3587" width="13.28515625" style="330" customWidth="1"/>
    <col min="3588" max="3588" width="13.140625" style="330" customWidth="1"/>
    <col min="3589" max="3589" width="15" style="330" customWidth="1"/>
    <col min="3590" max="3590" width="22" style="330" customWidth="1"/>
    <col min="3591" max="3840" width="9.140625" style="330"/>
    <col min="3841" max="3841" width="6.5703125" style="330" customWidth="1"/>
    <col min="3842" max="3842" width="36.28515625" style="330" customWidth="1"/>
    <col min="3843" max="3843" width="13.28515625" style="330" customWidth="1"/>
    <col min="3844" max="3844" width="13.140625" style="330" customWidth="1"/>
    <col min="3845" max="3845" width="15" style="330" customWidth="1"/>
    <col min="3846" max="3846" width="22" style="330" customWidth="1"/>
    <col min="3847" max="4096" width="9.140625" style="330"/>
    <col min="4097" max="4097" width="6.5703125" style="330" customWidth="1"/>
    <col min="4098" max="4098" width="36.28515625" style="330" customWidth="1"/>
    <col min="4099" max="4099" width="13.28515625" style="330" customWidth="1"/>
    <col min="4100" max="4100" width="13.140625" style="330" customWidth="1"/>
    <col min="4101" max="4101" width="15" style="330" customWidth="1"/>
    <col min="4102" max="4102" width="22" style="330" customWidth="1"/>
    <col min="4103" max="4352" width="9.140625" style="330"/>
    <col min="4353" max="4353" width="6.5703125" style="330" customWidth="1"/>
    <col min="4354" max="4354" width="36.28515625" style="330" customWidth="1"/>
    <col min="4355" max="4355" width="13.28515625" style="330" customWidth="1"/>
    <col min="4356" max="4356" width="13.140625" style="330" customWidth="1"/>
    <col min="4357" max="4357" width="15" style="330" customWidth="1"/>
    <col min="4358" max="4358" width="22" style="330" customWidth="1"/>
    <col min="4359" max="4608" width="9.140625" style="330"/>
    <col min="4609" max="4609" width="6.5703125" style="330" customWidth="1"/>
    <col min="4610" max="4610" width="36.28515625" style="330" customWidth="1"/>
    <col min="4611" max="4611" width="13.28515625" style="330" customWidth="1"/>
    <col min="4612" max="4612" width="13.140625" style="330" customWidth="1"/>
    <col min="4613" max="4613" width="15" style="330" customWidth="1"/>
    <col min="4614" max="4614" width="22" style="330" customWidth="1"/>
    <col min="4615" max="4864" width="9.140625" style="330"/>
    <col min="4865" max="4865" width="6.5703125" style="330" customWidth="1"/>
    <col min="4866" max="4866" width="36.28515625" style="330" customWidth="1"/>
    <col min="4867" max="4867" width="13.28515625" style="330" customWidth="1"/>
    <col min="4868" max="4868" width="13.140625" style="330" customWidth="1"/>
    <col min="4869" max="4869" width="15" style="330" customWidth="1"/>
    <col min="4870" max="4870" width="22" style="330" customWidth="1"/>
    <col min="4871" max="5120" width="9.140625" style="330"/>
    <col min="5121" max="5121" width="6.5703125" style="330" customWidth="1"/>
    <col min="5122" max="5122" width="36.28515625" style="330" customWidth="1"/>
    <col min="5123" max="5123" width="13.28515625" style="330" customWidth="1"/>
    <col min="5124" max="5124" width="13.140625" style="330" customWidth="1"/>
    <col min="5125" max="5125" width="15" style="330" customWidth="1"/>
    <col min="5126" max="5126" width="22" style="330" customWidth="1"/>
    <col min="5127" max="5376" width="9.140625" style="330"/>
    <col min="5377" max="5377" width="6.5703125" style="330" customWidth="1"/>
    <col min="5378" max="5378" width="36.28515625" style="330" customWidth="1"/>
    <col min="5379" max="5379" width="13.28515625" style="330" customWidth="1"/>
    <col min="5380" max="5380" width="13.140625" style="330" customWidth="1"/>
    <col min="5381" max="5381" width="15" style="330" customWidth="1"/>
    <col min="5382" max="5382" width="22" style="330" customWidth="1"/>
    <col min="5383" max="5632" width="9.140625" style="330"/>
    <col min="5633" max="5633" width="6.5703125" style="330" customWidth="1"/>
    <col min="5634" max="5634" width="36.28515625" style="330" customWidth="1"/>
    <col min="5635" max="5635" width="13.28515625" style="330" customWidth="1"/>
    <col min="5636" max="5636" width="13.140625" style="330" customWidth="1"/>
    <col min="5637" max="5637" width="15" style="330" customWidth="1"/>
    <col min="5638" max="5638" width="22" style="330" customWidth="1"/>
    <col min="5639" max="5888" width="9.140625" style="330"/>
    <col min="5889" max="5889" width="6.5703125" style="330" customWidth="1"/>
    <col min="5890" max="5890" width="36.28515625" style="330" customWidth="1"/>
    <col min="5891" max="5891" width="13.28515625" style="330" customWidth="1"/>
    <col min="5892" max="5892" width="13.140625" style="330" customWidth="1"/>
    <col min="5893" max="5893" width="15" style="330" customWidth="1"/>
    <col min="5894" max="5894" width="22" style="330" customWidth="1"/>
    <col min="5895" max="6144" width="9.140625" style="330"/>
    <col min="6145" max="6145" width="6.5703125" style="330" customWidth="1"/>
    <col min="6146" max="6146" width="36.28515625" style="330" customWidth="1"/>
    <col min="6147" max="6147" width="13.28515625" style="330" customWidth="1"/>
    <col min="6148" max="6148" width="13.140625" style="330" customWidth="1"/>
    <col min="6149" max="6149" width="15" style="330" customWidth="1"/>
    <col min="6150" max="6150" width="22" style="330" customWidth="1"/>
    <col min="6151" max="6400" width="9.140625" style="330"/>
    <col min="6401" max="6401" width="6.5703125" style="330" customWidth="1"/>
    <col min="6402" max="6402" width="36.28515625" style="330" customWidth="1"/>
    <col min="6403" max="6403" width="13.28515625" style="330" customWidth="1"/>
    <col min="6404" max="6404" width="13.140625" style="330" customWidth="1"/>
    <col min="6405" max="6405" width="15" style="330" customWidth="1"/>
    <col min="6406" max="6406" width="22" style="330" customWidth="1"/>
    <col min="6407" max="6656" width="9.140625" style="330"/>
    <col min="6657" max="6657" width="6.5703125" style="330" customWidth="1"/>
    <col min="6658" max="6658" width="36.28515625" style="330" customWidth="1"/>
    <col min="6659" max="6659" width="13.28515625" style="330" customWidth="1"/>
    <col min="6660" max="6660" width="13.140625" style="330" customWidth="1"/>
    <col min="6661" max="6661" width="15" style="330" customWidth="1"/>
    <col min="6662" max="6662" width="22" style="330" customWidth="1"/>
    <col min="6663" max="6912" width="9.140625" style="330"/>
    <col min="6913" max="6913" width="6.5703125" style="330" customWidth="1"/>
    <col min="6914" max="6914" width="36.28515625" style="330" customWidth="1"/>
    <col min="6915" max="6915" width="13.28515625" style="330" customWidth="1"/>
    <col min="6916" max="6916" width="13.140625" style="330" customWidth="1"/>
    <col min="6917" max="6917" width="15" style="330" customWidth="1"/>
    <col min="6918" max="6918" width="22" style="330" customWidth="1"/>
    <col min="6919" max="7168" width="9.140625" style="330"/>
    <col min="7169" max="7169" width="6.5703125" style="330" customWidth="1"/>
    <col min="7170" max="7170" width="36.28515625" style="330" customWidth="1"/>
    <col min="7171" max="7171" width="13.28515625" style="330" customWidth="1"/>
    <col min="7172" max="7172" width="13.140625" style="330" customWidth="1"/>
    <col min="7173" max="7173" width="15" style="330" customWidth="1"/>
    <col min="7174" max="7174" width="22" style="330" customWidth="1"/>
    <col min="7175" max="7424" width="9.140625" style="330"/>
    <col min="7425" max="7425" width="6.5703125" style="330" customWidth="1"/>
    <col min="7426" max="7426" width="36.28515625" style="330" customWidth="1"/>
    <col min="7427" max="7427" width="13.28515625" style="330" customWidth="1"/>
    <col min="7428" max="7428" width="13.140625" style="330" customWidth="1"/>
    <col min="7429" max="7429" width="15" style="330" customWidth="1"/>
    <col min="7430" max="7430" width="22" style="330" customWidth="1"/>
    <col min="7431" max="7680" width="9.140625" style="330"/>
    <col min="7681" max="7681" width="6.5703125" style="330" customWidth="1"/>
    <col min="7682" max="7682" width="36.28515625" style="330" customWidth="1"/>
    <col min="7683" max="7683" width="13.28515625" style="330" customWidth="1"/>
    <col min="7684" max="7684" width="13.140625" style="330" customWidth="1"/>
    <col min="7685" max="7685" width="15" style="330" customWidth="1"/>
    <col min="7686" max="7686" width="22" style="330" customWidth="1"/>
    <col min="7687" max="7936" width="9.140625" style="330"/>
    <col min="7937" max="7937" width="6.5703125" style="330" customWidth="1"/>
    <col min="7938" max="7938" width="36.28515625" style="330" customWidth="1"/>
    <col min="7939" max="7939" width="13.28515625" style="330" customWidth="1"/>
    <col min="7940" max="7940" width="13.140625" style="330" customWidth="1"/>
    <col min="7941" max="7941" width="15" style="330" customWidth="1"/>
    <col min="7942" max="7942" width="22" style="330" customWidth="1"/>
    <col min="7943" max="8192" width="9.140625" style="330"/>
    <col min="8193" max="8193" width="6.5703125" style="330" customWidth="1"/>
    <col min="8194" max="8194" width="36.28515625" style="330" customWidth="1"/>
    <col min="8195" max="8195" width="13.28515625" style="330" customWidth="1"/>
    <col min="8196" max="8196" width="13.140625" style="330" customWidth="1"/>
    <col min="8197" max="8197" width="15" style="330" customWidth="1"/>
    <col min="8198" max="8198" width="22" style="330" customWidth="1"/>
    <col min="8199" max="8448" width="9.140625" style="330"/>
    <col min="8449" max="8449" width="6.5703125" style="330" customWidth="1"/>
    <col min="8450" max="8450" width="36.28515625" style="330" customWidth="1"/>
    <col min="8451" max="8451" width="13.28515625" style="330" customWidth="1"/>
    <col min="8452" max="8452" width="13.140625" style="330" customWidth="1"/>
    <col min="8453" max="8453" width="15" style="330" customWidth="1"/>
    <col min="8454" max="8454" width="22" style="330" customWidth="1"/>
    <col min="8455" max="8704" width="9.140625" style="330"/>
    <col min="8705" max="8705" width="6.5703125" style="330" customWidth="1"/>
    <col min="8706" max="8706" width="36.28515625" style="330" customWidth="1"/>
    <col min="8707" max="8707" width="13.28515625" style="330" customWidth="1"/>
    <col min="8708" max="8708" width="13.140625" style="330" customWidth="1"/>
    <col min="8709" max="8709" width="15" style="330" customWidth="1"/>
    <col min="8710" max="8710" width="22" style="330" customWidth="1"/>
    <col min="8711" max="8960" width="9.140625" style="330"/>
    <col min="8961" max="8961" width="6.5703125" style="330" customWidth="1"/>
    <col min="8962" max="8962" width="36.28515625" style="330" customWidth="1"/>
    <col min="8963" max="8963" width="13.28515625" style="330" customWidth="1"/>
    <col min="8964" max="8964" width="13.140625" style="330" customWidth="1"/>
    <col min="8965" max="8965" width="15" style="330" customWidth="1"/>
    <col min="8966" max="8966" width="22" style="330" customWidth="1"/>
    <col min="8967" max="9216" width="9.140625" style="330"/>
    <col min="9217" max="9217" width="6.5703125" style="330" customWidth="1"/>
    <col min="9218" max="9218" width="36.28515625" style="330" customWidth="1"/>
    <col min="9219" max="9219" width="13.28515625" style="330" customWidth="1"/>
    <col min="9220" max="9220" width="13.140625" style="330" customWidth="1"/>
    <col min="9221" max="9221" width="15" style="330" customWidth="1"/>
    <col min="9222" max="9222" width="22" style="330" customWidth="1"/>
    <col min="9223" max="9472" width="9.140625" style="330"/>
    <col min="9473" max="9473" width="6.5703125" style="330" customWidth="1"/>
    <col min="9474" max="9474" width="36.28515625" style="330" customWidth="1"/>
    <col min="9475" max="9475" width="13.28515625" style="330" customWidth="1"/>
    <col min="9476" max="9476" width="13.140625" style="330" customWidth="1"/>
    <col min="9477" max="9477" width="15" style="330" customWidth="1"/>
    <col min="9478" max="9478" width="22" style="330" customWidth="1"/>
    <col min="9479" max="9728" width="9.140625" style="330"/>
    <col min="9729" max="9729" width="6.5703125" style="330" customWidth="1"/>
    <col min="9730" max="9730" width="36.28515625" style="330" customWidth="1"/>
    <col min="9731" max="9731" width="13.28515625" style="330" customWidth="1"/>
    <col min="9732" max="9732" width="13.140625" style="330" customWidth="1"/>
    <col min="9733" max="9733" width="15" style="330" customWidth="1"/>
    <col min="9734" max="9734" width="22" style="330" customWidth="1"/>
    <col min="9735" max="9984" width="9.140625" style="330"/>
    <col min="9985" max="9985" width="6.5703125" style="330" customWidth="1"/>
    <col min="9986" max="9986" width="36.28515625" style="330" customWidth="1"/>
    <col min="9987" max="9987" width="13.28515625" style="330" customWidth="1"/>
    <col min="9988" max="9988" width="13.140625" style="330" customWidth="1"/>
    <col min="9989" max="9989" width="15" style="330" customWidth="1"/>
    <col min="9990" max="9990" width="22" style="330" customWidth="1"/>
    <col min="9991" max="10240" width="9.140625" style="330"/>
    <col min="10241" max="10241" width="6.5703125" style="330" customWidth="1"/>
    <col min="10242" max="10242" width="36.28515625" style="330" customWidth="1"/>
    <col min="10243" max="10243" width="13.28515625" style="330" customWidth="1"/>
    <col min="10244" max="10244" width="13.140625" style="330" customWidth="1"/>
    <col min="10245" max="10245" width="15" style="330" customWidth="1"/>
    <col min="10246" max="10246" width="22" style="330" customWidth="1"/>
    <col min="10247" max="10496" width="9.140625" style="330"/>
    <col min="10497" max="10497" width="6.5703125" style="330" customWidth="1"/>
    <col min="10498" max="10498" width="36.28515625" style="330" customWidth="1"/>
    <col min="10499" max="10499" width="13.28515625" style="330" customWidth="1"/>
    <col min="10500" max="10500" width="13.140625" style="330" customWidth="1"/>
    <col min="10501" max="10501" width="15" style="330" customWidth="1"/>
    <col min="10502" max="10502" width="22" style="330" customWidth="1"/>
    <col min="10503" max="10752" width="9.140625" style="330"/>
    <col min="10753" max="10753" width="6.5703125" style="330" customWidth="1"/>
    <col min="10754" max="10754" width="36.28515625" style="330" customWidth="1"/>
    <col min="10755" max="10755" width="13.28515625" style="330" customWidth="1"/>
    <col min="10756" max="10756" width="13.140625" style="330" customWidth="1"/>
    <col min="10757" max="10757" width="15" style="330" customWidth="1"/>
    <col min="10758" max="10758" width="22" style="330" customWidth="1"/>
    <col min="10759" max="11008" width="9.140625" style="330"/>
    <col min="11009" max="11009" width="6.5703125" style="330" customWidth="1"/>
    <col min="11010" max="11010" width="36.28515625" style="330" customWidth="1"/>
    <col min="11011" max="11011" width="13.28515625" style="330" customWidth="1"/>
    <col min="11012" max="11012" width="13.140625" style="330" customWidth="1"/>
    <col min="11013" max="11013" width="15" style="330" customWidth="1"/>
    <col min="11014" max="11014" width="22" style="330" customWidth="1"/>
    <col min="11015" max="11264" width="9.140625" style="330"/>
    <col min="11265" max="11265" width="6.5703125" style="330" customWidth="1"/>
    <col min="11266" max="11266" width="36.28515625" style="330" customWidth="1"/>
    <col min="11267" max="11267" width="13.28515625" style="330" customWidth="1"/>
    <col min="11268" max="11268" width="13.140625" style="330" customWidth="1"/>
    <col min="11269" max="11269" width="15" style="330" customWidth="1"/>
    <col min="11270" max="11270" width="22" style="330" customWidth="1"/>
    <col min="11271" max="11520" width="9.140625" style="330"/>
    <col min="11521" max="11521" width="6.5703125" style="330" customWidth="1"/>
    <col min="11522" max="11522" width="36.28515625" style="330" customWidth="1"/>
    <col min="11523" max="11523" width="13.28515625" style="330" customWidth="1"/>
    <col min="11524" max="11524" width="13.140625" style="330" customWidth="1"/>
    <col min="11525" max="11525" width="15" style="330" customWidth="1"/>
    <col min="11526" max="11526" width="22" style="330" customWidth="1"/>
    <col min="11527" max="11776" width="9.140625" style="330"/>
    <col min="11777" max="11777" width="6.5703125" style="330" customWidth="1"/>
    <col min="11778" max="11778" width="36.28515625" style="330" customWidth="1"/>
    <col min="11779" max="11779" width="13.28515625" style="330" customWidth="1"/>
    <col min="11780" max="11780" width="13.140625" style="330" customWidth="1"/>
    <col min="11781" max="11781" width="15" style="330" customWidth="1"/>
    <col min="11782" max="11782" width="22" style="330" customWidth="1"/>
    <col min="11783" max="12032" width="9.140625" style="330"/>
    <col min="12033" max="12033" width="6.5703125" style="330" customWidth="1"/>
    <col min="12034" max="12034" width="36.28515625" style="330" customWidth="1"/>
    <col min="12035" max="12035" width="13.28515625" style="330" customWidth="1"/>
    <col min="12036" max="12036" width="13.140625" style="330" customWidth="1"/>
    <col min="12037" max="12037" width="15" style="330" customWidth="1"/>
    <col min="12038" max="12038" width="22" style="330" customWidth="1"/>
    <col min="12039" max="12288" width="9.140625" style="330"/>
    <col min="12289" max="12289" width="6.5703125" style="330" customWidth="1"/>
    <col min="12290" max="12290" width="36.28515625" style="330" customWidth="1"/>
    <col min="12291" max="12291" width="13.28515625" style="330" customWidth="1"/>
    <col min="12292" max="12292" width="13.140625" style="330" customWidth="1"/>
    <col min="12293" max="12293" width="15" style="330" customWidth="1"/>
    <col min="12294" max="12294" width="22" style="330" customWidth="1"/>
    <col min="12295" max="12544" width="9.140625" style="330"/>
    <col min="12545" max="12545" width="6.5703125" style="330" customWidth="1"/>
    <col min="12546" max="12546" width="36.28515625" style="330" customWidth="1"/>
    <col min="12547" max="12547" width="13.28515625" style="330" customWidth="1"/>
    <col min="12548" max="12548" width="13.140625" style="330" customWidth="1"/>
    <col min="12549" max="12549" width="15" style="330" customWidth="1"/>
    <col min="12550" max="12550" width="22" style="330" customWidth="1"/>
    <col min="12551" max="12800" width="9.140625" style="330"/>
    <col min="12801" max="12801" width="6.5703125" style="330" customWidth="1"/>
    <col min="12802" max="12802" width="36.28515625" style="330" customWidth="1"/>
    <col min="12803" max="12803" width="13.28515625" style="330" customWidth="1"/>
    <col min="12804" max="12804" width="13.140625" style="330" customWidth="1"/>
    <col min="12805" max="12805" width="15" style="330" customWidth="1"/>
    <col min="12806" max="12806" width="22" style="330" customWidth="1"/>
    <col min="12807" max="13056" width="9.140625" style="330"/>
    <col min="13057" max="13057" width="6.5703125" style="330" customWidth="1"/>
    <col min="13058" max="13058" width="36.28515625" style="330" customWidth="1"/>
    <col min="13059" max="13059" width="13.28515625" style="330" customWidth="1"/>
    <col min="13060" max="13060" width="13.140625" style="330" customWidth="1"/>
    <col min="13061" max="13061" width="15" style="330" customWidth="1"/>
    <col min="13062" max="13062" width="22" style="330" customWidth="1"/>
    <col min="13063" max="13312" width="9.140625" style="330"/>
    <col min="13313" max="13313" width="6.5703125" style="330" customWidth="1"/>
    <col min="13314" max="13314" width="36.28515625" style="330" customWidth="1"/>
    <col min="13315" max="13315" width="13.28515625" style="330" customWidth="1"/>
    <col min="13316" max="13316" width="13.140625" style="330" customWidth="1"/>
    <col min="13317" max="13317" width="15" style="330" customWidth="1"/>
    <col min="13318" max="13318" width="22" style="330" customWidth="1"/>
    <col min="13319" max="13568" width="9.140625" style="330"/>
    <col min="13569" max="13569" width="6.5703125" style="330" customWidth="1"/>
    <col min="13570" max="13570" width="36.28515625" style="330" customWidth="1"/>
    <col min="13571" max="13571" width="13.28515625" style="330" customWidth="1"/>
    <col min="13572" max="13572" width="13.140625" style="330" customWidth="1"/>
    <col min="13573" max="13573" width="15" style="330" customWidth="1"/>
    <col min="13574" max="13574" width="22" style="330" customWidth="1"/>
    <col min="13575" max="13824" width="9.140625" style="330"/>
    <col min="13825" max="13825" width="6.5703125" style="330" customWidth="1"/>
    <col min="13826" max="13826" width="36.28515625" style="330" customWidth="1"/>
    <col min="13827" max="13827" width="13.28515625" style="330" customWidth="1"/>
    <col min="13828" max="13828" width="13.140625" style="330" customWidth="1"/>
    <col min="13829" max="13829" width="15" style="330" customWidth="1"/>
    <col min="13830" max="13830" width="22" style="330" customWidth="1"/>
    <col min="13831" max="14080" width="9.140625" style="330"/>
    <col min="14081" max="14081" width="6.5703125" style="330" customWidth="1"/>
    <col min="14082" max="14082" width="36.28515625" style="330" customWidth="1"/>
    <col min="14083" max="14083" width="13.28515625" style="330" customWidth="1"/>
    <col min="14084" max="14084" width="13.140625" style="330" customWidth="1"/>
    <col min="14085" max="14085" width="15" style="330" customWidth="1"/>
    <col min="14086" max="14086" width="22" style="330" customWidth="1"/>
    <col min="14087" max="14336" width="9.140625" style="330"/>
    <col min="14337" max="14337" width="6.5703125" style="330" customWidth="1"/>
    <col min="14338" max="14338" width="36.28515625" style="330" customWidth="1"/>
    <col min="14339" max="14339" width="13.28515625" style="330" customWidth="1"/>
    <col min="14340" max="14340" width="13.140625" style="330" customWidth="1"/>
    <col min="14341" max="14341" width="15" style="330" customWidth="1"/>
    <col min="14342" max="14342" width="22" style="330" customWidth="1"/>
    <col min="14343" max="14592" width="9.140625" style="330"/>
    <col min="14593" max="14593" width="6.5703125" style="330" customWidth="1"/>
    <col min="14594" max="14594" width="36.28515625" style="330" customWidth="1"/>
    <col min="14595" max="14595" width="13.28515625" style="330" customWidth="1"/>
    <col min="14596" max="14596" width="13.140625" style="330" customWidth="1"/>
    <col min="14597" max="14597" width="15" style="330" customWidth="1"/>
    <col min="14598" max="14598" width="22" style="330" customWidth="1"/>
    <col min="14599" max="14848" width="9.140625" style="330"/>
    <col min="14849" max="14849" width="6.5703125" style="330" customWidth="1"/>
    <col min="14850" max="14850" width="36.28515625" style="330" customWidth="1"/>
    <col min="14851" max="14851" width="13.28515625" style="330" customWidth="1"/>
    <col min="14852" max="14852" width="13.140625" style="330" customWidth="1"/>
    <col min="14853" max="14853" width="15" style="330" customWidth="1"/>
    <col min="14854" max="14854" width="22" style="330" customWidth="1"/>
    <col min="14855" max="15104" width="9.140625" style="330"/>
    <col min="15105" max="15105" width="6.5703125" style="330" customWidth="1"/>
    <col min="15106" max="15106" width="36.28515625" style="330" customWidth="1"/>
    <col min="15107" max="15107" width="13.28515625" style="330" customWidth="1"/>
    <col min="15108" max="15108" width="13.140625" style="330" customWidth="1"/>
    <col min="15109" max="15109" width="15" style="330" customWidth="1"/>
    <col min="15110" max="15110" width="22" style="330" customWidth="1"/>
    <col min="15111" max="15360" width="9.140625" style="330"/>
    <col min="15361" max="15361" width="6.5703125" style="330" customWidth="1"/>
    <col min="15362" max="15362" width="36.28515625" style="330" customWidth="1"/>
    <col min="15363" max="15363" width="13.28515625" style="330" customWidth="1"/>
    <col min="15364" max="15364" width="13.140625" style="330" customWidth="1"/>
    <col min="15365" max="15365" width="15" style="330" customWidth="1"/>
    <col min="15366" max="15366" width="22" style="330" customWidth="1"/>
    <col min="15367" max="15616" width="9.140625" style="330"/>
    <col min="15617" max="15617" width="6.5703125" style="330" customWidth="1"/>
    <col min="15618" max="15618" width="36.28515625" style="330" customWidth="1"/>
    <col min="15619" max="15619" width="13.28515625" style="330" customWidth="1"/>
    <col min="15620" max="15620" width="13.140625" style="330" customWidth="1"/>
    <col min="15621" max="15621" width="15" style="330" customWidth="1"/>
    <col min="15622" max="15622" width="22" style="330" customWidth="1"/>
    <col min="15623" max="15872" width="9.140625" style="330"/>
    <col min="15873" max="15873" width="6.5703125" style="330" customWidth="1"/>
    <col min="15874" max="15874" width="36.28515625" style="330" customWidth="1"/>
    <col min="15875" max="15875" width="13.28515625" style="330" customWidth="1"/>
    <col min="15876" max="15876" width="13.140625" style="330" customWidth="1"/>
    <col min="15877" max="15877" width="15" style="330" customWidth="1"/>
    <col min="15878" max="15878" width="22" style="330" customWidth="1"/>
    <col min="15879" max="16128" width="9.140625" style="330"/>
    <col min="16129" max="16129" width="6.5703125" style="330" customWidth="1"/>
    <col min="16130" max="16130" width="36.28515625" style="330" customWidth="1"/>
    <col min="16131" max="16131" width="13.28515625" style="330" customWidth="1"/>
    <col min="16132" max="16132" width="13.140625" style="330" customWidth="1"/>
    <col min="16133" max="16133" width="15" style="330" customWidth="1"/>
    <col min="16134" max="16134" width="22" style="330" customWidth="1"/>
    <col min="16135" max="16384" width="9.140625" style="330"/>
  </cols>
  <sheetData>
    <row r="1" spans="1:8" ht="15">
      <c r="A1" s="329"/>
      <c r="B1" s="329"/>
      <c r="C1" s="329"/>
      <c r="D1" s="329"/>
    </row>
    <row r="2" spans="1:8" ht="37.5" customHeight="1">
      <c r="A2" s="331"/>
      <c r="B2" s="331"/>
      <c r="C2" s="435" t="s">
        <v>456</v>
      </c>
      <c r="D2" s="435"/>
      <c r="E2" s="435"/>
    </row>
    <row r="3" spans="1:8" ht="18.75">
      <c r="A3" s="332"/>
      <c r="B3" s="332"/>
      <c r="C3" s="332"/>
      <c r="D3" s="332"/>
      <c r="E3" s="333"/>
    </row>
    <row r="4" spans="1:8" ht="77.25" customHeight="1">
      <c r="A4" s="435" t="s">
        <v>457</v>
      </c>
      <c r="B4" s="435"/>
      <c r="C4" s="435"/>
      <c r="D4" s="435"/>
      <c r="E4" s="435"/>
      <c r="F4" s="300"/>
    </row>
    <row r="5" spans="1:8" ht="18.75">
      <c r="A5" s="334"/>
      <c r="B5" s="334"/>
      <c r="C5" s="334"/>
      <c r="D5" s="334"/>
      <c r="E5" s="334"/>
      <c r="F5" s="335"/>
      <c r="G5" s="335"/>
      <c r="H5" s="335"/>
    </row>
    <row r="6" spans="1:8" ht="15.75">
      <c r="A6" s="370" t="s">
        <v>160</v>
      </c>
      <c r="B6" s="370" t="s">
        <v>234</v>
      </c>
      <c r="C6" s="436" t="s">
        <v>404</v>
      </c>
      <c r="D6" s="436"/>
      <c r="E6" s="436"/>
    </row>
    <row r="7" spans="1:8" ht="63">
      <c r="A7" s="372"/>
      <c r="B7" s="372"/>
      <c r="C7" s="302" t="s">
        <v>235</v>
      </c>
      <c r="D7" s="302" t="s">
        <v>221</v>
      </c>
      <c r="E7" s="336" t="s">
        <v>222</v>
      </c>
    </row>
    <row r="8" spans="1:8" s="337" customFormat="1" ht="15.75">
      <c r="A8" s="302">
        <v>1</v>
      </c>
      <c r="B8" s="302">
        <v>2</v>
      </c>
      <c r="C8" s="302">
        <v>3</v>
      </c>
      <c r="D8" s="302">
        <v>4</v>
      </c>
      <c r="E8" s="302">
        <v>5</v>
      </c>
    </row>
    <row r="9" spans="1:8" ht="94.5">
      <c r="A9" s="302" t="s">
        <v>214</v>
      </c>
      <c r="B9" s="338" t="s">
        <v>236</v>
      </c>
      <c r="C9" s="339">
        <v>0</v>
      </c>
      <c r="D9" s="339">
        <v>0</v>
      </c>
      <c r="E9" s="339">
        <f t="shared" ref="E9:E14" si="0">+C9-D9</f>
        <v>0</v>
      </c>
    </row>
    <row r="10" spans="1:8" ht="31.5">
      <c r="A10" s="302" t="s">
        <v>51</v>
      </c>
      <c r="B10" s="340" t="s">
        <v>131</v>
      </c>
      <c r="C10" s="339">
        <v>0</v>
      </c>
      <c r="D10" s="339">
        <v>0</v>
      </c>
      <c r="E10" s="339">
        <f t="shared" si="0"/>
        <v>0</v>
      </c>
    </row>
    <row r="11" spans="1:8" ht="15.75">
      <c r="A11" s="302" t="s">
        <v>73</v>
      </c>
      <c r="B11" s="340" t="s">
        <v>132</v>
      </c>
      <c r="C11" s="339">
        <v>0</v>
      </c>
      <c r="D11" s="339">
        <v>0</v>
      </c>
      <c r="E11" s="339">
        <v>0</v>
      </c>
    </row>
    <row r="12" spans="1:8" ht="15.75">
      <c r="A12" s="302">
        <v>4</v>
      </c>
      <c r="B12" s="341" t="s">
        <v>133</v>
      </c>
      <c r="C12" s="339">
        <v>0</v>
      </c>
      <c r="D12" s="339">
        <v>0</v>
      </c>
      <c r="E12" s="339">
        <f t="shared" si="0"/>
        <v>0</v>
      </c>
    </row>
    <row r="13" spans="1:8" ht="15.75">
      <c r="A13" s="302" t="s">
        <v>112</v>
      </c>
      <c r="B13" s="341" t="s">
        <v>237</v>
      </c>
      <c r="C13" s="339">
        <v>0</v>
      </c>
      <c r="D13" s="339">
        <v>0</v>
      </c>
      <c r="E13" s="339">
        <f t="shared" si="0"/>
        <v>0</v>
      </c>
    </row>
    <row r="14" spans="1:8" ht="15.75">
      <c r="A14" s="302" t="s">
        <v>229</v>
      </c>
      <c r="B14" s="341" t="s">
        <v>405</v>
      </c>
      <c r="C14" s="339">
        <v>0</v>
      </c>
      <c r="D14" s="339">
        <v>0</v>
      </c>
      <c r="E14" s="339">
        <f t="shared" si="0"/>
        <v>0</v>
      </c>
    </row>
    <row r="15" spans="1:8" ht="15.75">
      <c r="A15" s="302" t="s">
        <v>120</v>
      </c>
      <c r="B15" s="338" t="s">
        <v>129</v>
      </c>
      <c r="C15" s="339">
        <v>0</v>
      </c>
      <c r="D15" s="339">
        <v>0</v>
      </c>
      <c r="E15" s="33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tabSelected="1" workbookViewId="0">
      <selection activeCell="C26" sqref="C26"/>
    </sheetView>
  </sheetViews>
  <sheetFormatPr defaultRowHeight="1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6.85546875" customWidth="1"/>
    <col min="6" max="6" width="22" customWidth="1"/>
  </cols>
  <sheetData>
    <row r="1" spans="1:8">
      <c r="A1" s="201"/>
      <c r="B1" s="201"/>
      <c r="C1" s="201"/>
      <c r="D1" s="201"/>
    </row>
    <row r="2" spans="1:8" ht="37.5" customHeight="1">
      <c r="A2" s="202"/>
      <c r="B2" s="202"/>
      <c r="C2" s="382" t="s">
        <v>456</v>
      </c>
      <c r="D2" s="382"/>
      <c r="E2" s="382"/>
    </row>
    <row r="3" spans="1:8" ht="18.75">
      <c r="A3" s="287"/>
      <c r="B3" s="287"/>
      <c r="C3" s="287"/>
      <c r="D3" s="287"/>
      <c r="E3" s="288"/>
    </row>
    <row r="4" spans="1:8" ht="77.25" customHeight="1">
      <c r="A4" s="382" t="s">
        <v>457</v>
      </c>
      <c r="B4" s="382"/>
      <c r="C4" s="382"/>
      <c r="D4" s="382"/>
      <c r="E4" s="382"/>
      <c r="F4" s="176"/>
    </row>
    <row r="5" spans="1:8" ht="18.75">
      <c r="A5" s="203"/>
      <c r="B5" s="203"/>
      <c r="C5" s="203"/>
      <c r="D5" s="203"/>
      <c r="E5" s="203"/>
      <c r="F5" s="177"/>
      <c r="G5" s="177"/>
      <c r="H5" s="177"/>
    </row>
    <row r="6" spans="1:8" ht="15.75">
      <c r="A6" s="363" t="s">
        <v>160</v>
      </c>
      <c r="B6" s="363" t="s">
        <v>234</v>
      </c>
      <c r="C6" s="437" t="s">
        <v>404</v>
      </c>
      <c r="D6" s="437"/>
      <c r="E6" s="437"/>
    </row>
    <row r="7" spans="1:8" ht="63">
      <c r="A7" s="365"/>
      <c r="B7" s="365"/>
      <c r="C7" s="179" t="s">
        <v>235</v>
      </c>
      <c r="D7" s="179" t="s">
        <v>221</v>
      </c>
      <c r="E7" s="286" t="s">
        <v>222</v>
      </c>
    </row>
    <row r="8" spans="1:8" s="76" customFormat="1" ht="15.75">
      <c r="A8" s="179">
        <v>1</v>
      </c>
      <c r="B8" s="179">
        <v>2</v>
      </c>
      <c r="C8" s="179">
        <v>3</v>
      </c>
      <c r="D8" s="179">
        <v>4</v>
      </c>
      <c r="E8" s="179">
        <v>5</v>
      </c>
    </row>
    <row r="9" spans="1:8" ht="94.5">
      <c r="A9" s="179" t="s">
        <v>214</v>
      </c>
      <c r="B9" s="5" t="s">
        <v>236</v>
      </c>
      <c r="C9" s="6">
        <v>0</v>
      </c>
      <c r="D9" s="6">
        <v>0</v>
      </c>
      <c r="E9" s="6">
        <f t="shared" ref="E9:E15" si="0">+C9-D9</f>
        <v>0</v>
      </c>
    </row>
    <row r="10" spans="1:8" ht="31.5">
      <c r="A10" s="179" t="s">
        <v>51</v>
      </c>
      <c r="B10" s="77" t="s">
        <v>131</v>
      </c>
      <c r="C10" s="6">
        <v>0</v>
      </c>
      <c r="D10" s="6">
        <v>0</v>
      </c>
      <c r="E10" s="6">
        <f t="shared" si="0"/>
        <v>0</v>
      </c>
    </row>
    <row r="11" spans="1:8" ht="15.75">
      <c r="A11" s="179" t="s">
        <v>73</v>
      </c>
      <c r="B11" s="77" t="s">
        <v>132</v>
      </c>
      <c r="C11" s="6">
        <v>0</v>
      </c>
      <c r="D11" s="6">
        <v>0</v>
      </c>
      <c r="E11" s="6">
        <f t="shared" si="0"/>
        <v>0</v>
      </c>
    </row>
    <row r="12" spans="1:8" ht="15.75">
      <c r="A12" s="179">
        <v>4</v>
      </c>
      <c r="B12" s="204" t="s">
        <v>133</v>
      </c>
      <c r="C12" s="6">
        <v>0</v>
      </c>
      <c r="D12" s="6">
        <v>0</v>
      </c>
      <c r="E12" s="6">
        <f t="shared" si="0"/>
        <v>0</v>
      </c>
    </row>
    <row r="13" spans="1:8" ht="15.75">
      <c r="A13" s="179" t="s">
        <v>112</v>
      </c>
      <c r="B13" s="204" t="s">
        <v>237</v>
      </c>
      <c r="C13" s="6">
        <v>0</v>
      </c>
      <c r="D13" s="6">
        <v>0</v>
      </c>
      <c r="E13" s="6">
        <f t="shared" si="0"/>
        <v>0</v>
      </c>
    </row>
    <row r="14" spans="1:8" ht="15.75">
      <c r="A14" s="179" t="s">
        <v>229</v>
      </c>
      <c r="B14" s="204" t="s">
        <v>405</v>
      </c>
      <c r="C14" s="6">
        <v>3</v>
      </c>
      <c r="D14" s="6">
        <v>3</v>
      </c>
      <c r="E14" s="6">
        <f t="shared" si="0"/>
        <v>0</v>
      </c>
    </row>
    <row r="15" spans="1:8" ht="15.75">
      <c r="A15" s="179" t="s">
        <v>120</v>
      </c>
      <c r="B15" s="5" t="s">
        <v>129</v>
      </c>
      <c r="C15" s="6">
        <v>0</v>
      </c>
      <c r="D15" s="6">
        <v>0</v>
      </c>
      <c r="E15" s="6">
        <f t="shared" si="0"/>
        <v>0</v>
      </c>
    </row>
  </sheetData>
  <mergeCells count="5">
    <mergeCell ref="C2:E2"/>
    <mergeCell ref="A4:E4"/>
    <mergeCell ref="A6:A7"/>
    <mergeCell ref="B6:B7"/>
    <mergeCell ref="C6:E6"/>
  </mergeCells>
  <phoneticPr fontId="3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</cols>
  <sheetData>
    <row r="1" spans="1:23" ht="20.25" customHeight="1">
      <c r="A1" s="353" t="s">
        <v>144</v>
      </c>
      <c r="B1" s="354"/>
      <c r="C1" s="354"/>
      <c r="D1" s="354"/>
      <c r="E1" s="354"/>
      <c r="F1" s="354"/>
      <c r="G1" s="354"/>
      <c r="H1" s="354"/>
      <c r="I1" s="27"/>
      <c r="J1" s="27"/>
      <c r="K1" s="27"/>
      <c r="L1" s="27"/>
      <c r="M1" s="28"/>
    </row>
    <row r="2" spans="1:23">
      <c r="A2" s="355"/>
      <c r="B2" s="356"/>
      <c r="C2" s="356"/>
      <c r="D2" s="356"/>
      <c r="E2" s="356"/>
      <c r="F2" s="356"/>
      <c r="G2" s="356"/>
      <c r="H2" s="356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>
      <c r="J25" s="54"/>
      <c r="K25" s="54"/>
    </row>
    <row r="27" spans="1:23">
      <c r="C27" s="55"/>
      <c r="D27" s="55"/>
      <c r="E27" s="55"/>
      <c r="F27" s="55"/>
      <c r="G27" s="55"/>
      <c r="H27" s="55"/>
      <c r="I27" s="55"/>
    </row>
    <row r="28" spans="1:23">
      <c r="A28" s="55"/>
      <c r="B28" s="55"/>
      <c r="C28" s="55"/>
      <c r="D28" s="55"/>
      <c r="E28" s="55"/>
      <c r="F28" s="55"/>
      <c r="G28" s="55"/>
      <c r="H28" s="55"/>
      <c r="I28" s="55"/>
    </row>
    <row r="29" spans="1:23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>
      <c r="J32" s="55"/>
    </row>
    <row r="33" spans="1:10">
      <c r="J33" s="55"/>
    </row>
    <row r="34" spans="1:10">
      <c r="J34" s="55"/>
    </row>
    <row r="35" spans="1:10">
      <c r="J35" s="55"/>
    </row>
    <row r="36" spans="1:10">
      <c r="J36" s="55"/>
    </row>
    <row r="37" spans="1:10">
      <c r="J37" s="55"/>
    </row>
    <row r="38" spans="1:10">
      <c r="J38" s="55"/>
    </row>
    <row r="39" spans="1:10"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honeticPr fontId="3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14" sqref="B14"/>
    </sheetView>
  </sheetViews>
  <sheetFormatPr defaultRowHeight="15"/>
  <cols>
    <col min="1" max="1" width="5.85546875" customWidth="1"/>
    <col min="2" max="2" width="29.42578125" customWidth="1"/>
    <col min="3" max="3" width="29" customWidth="1"/>
  </cols>
  <sheetData>
    <row r="1" spans="1:3">
      <c r="A1" s="359" t="s">
        <v>177</v>
      </c>
      <c r="B1" s="359"/>
      <c r="C1" s="359"/>
    </row>
    <row r="2" spans="1:3" ht="30">
      <c r="A2" s="56" t="s">
        <v>160</v>
      </c>
      <c r="B2" s="57" t="s">
        <v>161</v>
      </c>
      <c r="C2" s="57" t="s">
        <v>162</v>
      </c>
    </row>
    <row r="3" spans="1:3" ht="15" customHeight="1">
      <c r="A3" s="58">
        <v>1</v>
      </c>
      <c r="B3" s="58" t="s">
        <v>163</v>
      </c>
      <c r="C3" s="62">
        <f>C4+C8+C9+C10</f>
        <v>16.209000000000003</v>
      </c>
    </row>
    <row r="4" spans="1:3" ht="18" customHeight="1">
      <c r="A4" s="60" t="s">
        <v>6</v>
      </c>
      <c r="B4" s="60" t="s">
        <v>164</v>
      </c>
      <c r="C4" s="61">
        <f>C5+C6+C7</f>
        <v>12.205</v>
      </c>
    </row>
    <row r="5" spans="1:3">
      <c r="A5" s="60" t="s">
        <v>165</v>
      </c>
      <c r="B5" s="60" t="s">
        <v>166</v>
      </c>
      <c r="C5" s="2">
        <v>12.205</v>
      </c>
    </row>
    <row r="6" spans="1:3">
      <c r="A6" s="60" t="s">
        <v>167</v>
      </c>
      <c r="B6" s="60" t="s">
        <v>168</v>
      </c>
      <c r="C6" s="61">
        <v>0</v>
      </c>
    </row>
    <row r="7" spans="1:3" ht="30">
      <c r="A7" s="60" t="s">
        <v>169</v>
      </c>
      <c r="B7" s="60" t="s">
        <v>170</v>
      </c>
      <c r="C7" s="61">
        <v>0</v>
      </c>
    </row>
    <row r="8" spans="1:3">
      <c r="A8" s="60" t="s">
        <v>8</v>
      </c>
      <c r="B8" s="60" t="s">
        <v>171</v>
      </c>
      <c r="C8" s="2">
        <v>0.874</v>
      </c>
    </row>
    <row r="9" spans="1:3">
      <c r="A9" s="60" t="s">
        <v>27</v>
      </c>
      <c r="B9" s="60" t="s">
        <v>172</v>
      </c>
      <c r="C9" s="2">
        <v>3.0939999999999999</v>
      </c>
    </row>
    <row r="10" spans="1:3">
      <c r="A10" s="60" t="s">
        <v>29</v>
      </c>
      <c r="B10" s="60" t="s">
        <v>173</v>
      </c>
      <c r="C10" s="2">
        <v>3.5999999999999997E-2</v>
      </c>
    </row>
    <row r="11" spans="1:3">
      <c r="A11" s="59"/>
      <c r="B11" s="59" t="s">
        <v>174</v>
      </c>
      <c r="C11" s="63">
        <f>C3</f>
        <v>16.209000000000003</v>
      </c>
    </row>
    <row r="12" spans="1:3">
      <c r="A12" s="59">
        <v>2</v>
      </c>
      <c r="B12" s="59" t="s">
        <v>175</v>
      </c>
      <c r="C12" s="59">
        <f>C13+C17+C18+C19</f>
        <v>29.202000000000002</v>
      </c>
    </row>
    <row r="13" spans="1:3">
      <c r="A13" s="60" t="s">
        <v>6</v>
      </c>
      <c r="B13" s="60" t="s">
        <v>164</v>
      </c>
      <c r="C13" s="2">
        <f>C14+C15+C16</f>
        <v>24.509</v>
      </c>
    </row>
    <row r="14" spans="1:3">
      <c r="A14" s="60" t="s">
        <v>165</v>
      </c>
      <c r="B14" s="60" t="s">
        <v>166</v>
      </c>
      <c r="C14" s="2">
        <v>20.285</v>
      </c>
    </row>
    <row r="15" spans="1:3">
      <c r="A15" s="60" t="s">
        <v>167</v>
      </c>
      <c r="B15" s="60" t="s">
        <v>168</v>
      </c>
      <c r="C15" s="2">
        <v>0.98899999999999999</v>
      </c>
    </row>
    <row r="16" spans="1:3" ht="30">
      <c r="A16" s="60" t="s">
        <v>169</v>
      </c>
      <c r="B16" s="60" t="s">
        <v>170</v>
      </c>
      <c r="C16" s="2">
        <v>3.2349999999999999</v>
      </c>
    </row>
    <row r="17" spans="1:4">
      <c r="A17" s="60" t="s">
        <v>8</v>
      </c>
      <c r="B17" s="60" t="s">
        <v>171</v>
      </c>
      <c r="C17" s="2">
        <v>0.56599999999999995</v>
      </c>
    </row>
    <row r="18" spans="1:4">
      <c r="A18" s="60" t="s">
        <v>27</v>
      </c>
      <c r="B18" s="60" t="s">
        <v>172</v>
      </c>
      <c r="C18" s="2">
        <v>3.8029999999999999</v>
      </c>
    </row>
    <row r="19" spans="1:4">
      <c r="A19" s="60" t="s">
        <v>29</v>
      </c>
      <c r="B19" s="60" t="s">
        <v>173</v>
      </c>
      <c r="C19" s="2">
        <v>0.32400000000000001</v>
      </c>
    </row>
    <row r="20" spans="1:4">
      <c r="A20" s="64"/>
      <c r="B20" s="64" t="s">
        <v>174</v>
      </c>
      <c r="C20" s="59">
        <f>C12</f>
        <v>29.202000000000002</v>
      </c>
    </row>
    <row r="21" spans="1:4" ht="30" customHeight="1">
      <c r="A21" s="357" t="s">
        <v>176</v>
      </c>
      <c r="B21" s="358"/>
      <c r="C21" s="61">
        <f>C29</f>
        <v>45.410999999999994</v>
      </c>
    </row>
    <row r="22" spans="1:4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>
      <c r="A23" s="60" t="s">
        <v>165</v>
      </c>
      <c r="B23" s="60" t="s">
        <v>166</v>
      </c>
      <c r="C23" s="2">
        <f t="shared" si="0"/>
        <v>32.49</v>
      </c>
    </row>
    <row r="24" spans="1:4">
      <c r="A24" s="60" t="s">
        <v>167</v>
      </c>
      <c r="B24" s="60" t="s">
        <v>168</v>
      </c>
      <c r="C24" s="61">
        <f t="shared" si="0"/>
        <v>0.98899999999999999</v>
      </c>
    </row>
    <row r="25" spans="1:4" ht="30">
      <c r="A25" s="60" t="s">
        <v>169</v>
      </c>
      <c r="B25" s="60" t="s">
        <v>170</v>
      </c>
      <c r="C25" s="61">
        <f t="shared" si="0"/>
        <v>3.2349999999999999</v>
      </c>
    </row>
    <row r="26" spans="1:4">
      <c r="A26" s="60" t="s">
        <v>8</v>
      </c>
      <c r="B26" s="60" t="s">
        <v>171</v>
      </c>
      <c r="C26" s="2">
        <f t="shared" si="0"/>
        <v>1.44</v>
      </c>
    </row>
    <row r="27" spans="1:4">
      <c r="A27" s="60" t="s">
        <v>27</v>
      </c>
      <c r="B27" s="60" t="s">
        <v>172</v>
      </c>
      <c r="C27" s="2">
        <f t="shared" si="0"/>
        <v>6.8970000000000002</v>
      </c>
    </row>
    <row r="28" spans="1:4">
      <c r="A28" s="60" t="s">
        <v>29</v>
      </c>
      <c r="B28" s="60" t="s">
        <v>173</v>
      </c>
      <c r="C28" s="2">
        <f t="shared" si="0"/>
        <v>0.36</v>
      </c>
    </row>
    <row r="29" spans="1:4">
      <c r="A29" s="60"/>
      <c r="B29" s="64" t="s">
        <v>174</v>
      </c>
      <c r="C29" s="63">
        <f>C22+C26+C27+C28</f>
        <v>45.410999999999994</v>
      </c>
      <c r="D29" s="25"/>
    </row>
    <row r="30" spans="1:4" hidden="1">
      <c r="A30" s="2"/>
      <c r="B30" s="2"/>
      <c r="C30" s="2"/>
    </row>
    <row r="31" spans="1:4" hidden="1">
      <c r="A31" s="2"/>
      <c r="B31" s="2"/>
      <c r="C31" s="2"/>
    </row>
  </sheetData>
  <mergeCells count="2">
    <mergeCell ref="A21:B21"/>
    <mergeCell ref="A1:C1"/>
  </mergeCells>
  <phoneticPr fontId="3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opLeftCell="A16" workbookViewId="0">
      <selection activeCell="F28" sqref="F28"/>
    </sheetView>
  </sheetViews>
  <sheetFormatPr defaultColWidth="39.85546875" defaultRowHeight="15.75" outlineLevelRow="1"/>
  <cols>
    <col min="1" max="1" width="6.140625" style="174" customWidth="1"/>
    <col min="2" max="2" width="36.5703125" style="174" customWidth="1"/>
    <col min="3" max="3" width="14" style="174" customWidth="1"/>
    <col min="4" max="4" width="14.42578125" style="174" customWidth="1"/>
    <col min="5" max="5" width="15" style="174" customWidth="1"/>
    <col min="6" max="16384" width="39.85546875" style="174"/>
  </cols>
  <sheetData>
    <row r="1" spans="1:8" ht="37.5" customHeight="1">
      <c r="C1" s="360" t="s">
        <v>450</v>
      </c>
      <c r="D1" s="360"/>
      <c r="E1" s="360"/>
    </row>
    <row r="2" spans="1:8" ht="30" customHeight="1">
      <c r="A2" s="175"/>
      <c r="C2" s="175"/>
      <c r="D2" s="175"/>
      <c r="E2" s="175"/>
    </row>
    <row r="3" spans="1:8" ht="20.25" customHeight="1">
      <c r="A3" s="361" t="s">
        <v>357</v>
      </c>
      <c r="B3" s="361"/>
      <c r="C3" s="361"/>
      <c r="D3" s="361"/>
      <c r="E3" s="361"/>
      <c r="F3" s="176"/>
    </row>
    <row r="4" spans="1:8" ht="54" customHeight="1">
      <c r="A4" s="362" t="s">
        <v>451</v>
      </c>
      <c r="B4" s="362"/>
      <c r="C4" s="362"/>
      <c r="D4" s="362"/>
      <c r="E4" s="362"/>
      <c r="F4" s="177"/>
      <c r="G4" s="177"/>
      <c r="H4" s="177"/>
    </row>
    <row r="5" spans="1:8" ht="18.75">
      <c r="C5" s="178"/>
    </row>
    <row r="6" spans="1:8" ht="15.6" customHeight="1">
      <c r="A6" s="363" t="s">
        <v>160</v>
      </c>
      <c r="B6" s="363" t="s">
        <v>239</v>
      </c>
      <c r="C6" s="363" t="s">
        <v>240</v>
      </c>
      <c r="D6" s="366" t="s">
        <v>439</v>
      </c>
      <c r="E6" s="367"/>
    </row>
    <row r="7" spans="1:8" ht="18.600000000000001" customHeight="1">
      <c r="A7" s="364"/>
      <c r="B7" s="364"/>
      <c r="C7" s="364"/>
      <c r="D7" s="363" t="s">
        <v>359</v>
      </c>
      <c r="E7" s="363" t="s">
        <v>360</v>
      </c>
    </row>
    <row r="8" spans="1:8" ht="18.600000000000001" customHeight="1">
      <c r="A8" s="365"/>
      <c r="B8" s="365"/>
      <c r="C8" s="365"/>
      <c r="D8" s="365"/>
      <c r="E8" s="365"/>
    </row>
    <row r="9" spans="1:8">
      <c r="A9" s="179">
        <v>1</v>
      </c>
      <c r="B9" s="179">
        <v>2</v>
      </c>
      <c r="C9" s="179">
        <v>3</v>
      </c>
      <c r="D9" s="179">
        <v>4</v>
      </c>
      <c r="E9" s="179">
        <v>5</v>
      </c>
    </row>
    <row r="10" spans="1:8" ht="31.5">
      <c r="A10" s="179">
        <v>1</v>
      </c>
      <c r="B10" s="180" t="s">
        <v>361</v>
      </c>
      <c r="C10" s="179" t="s">
        <v>248</v>
      </c>
      <c r="D10" s="6">
        <v>27.71</v>
      </c>
      <c r="E10" s="6">
        <v>27.71</v>
      </c>
    </row>
    <row r="11" spans="1:8" ht="47.25">
      <c r="A11" s="179">
        <v>2</v>
      </c>
      <c r="B11" s="180" t="s">
        <v>362</v>
      </c>
      <c r="C11" s="179" t="s">
        <v>363</v>
      </c>
      <c r="D11" s="6">
        <v>9</v>
      </c>
      <c r="E11" s="6">
        <v>9</v>
      </c>
    </row>
    <row r="12" spans="1:8" ht="31.5">
      <c r="A12" s="179">
        <v>3</v>
      </c>
      <c r="B12" s="180" t="s">
        <v>364</v>
      </c>
      <c r="C12" s="179" t="s">
        <v>363</v>
      </c>
      <c r="D12" s="6">
        <v>0</v>
      </c>
      <c r="E12" s="6">
        <f>D12</f>
        <v>0</v>
      </c>
    </row>
    <row r="13" spans="1:8" ht="31.5">
      <c r="A13" s="179">
        <v>4</v>
      </c>
      <c r="B13" s="180" t="s">
        <v>440</v>
      </c>
      <c r="C13" s="179" t="s">
        <v>363</v>
      </c>
      <c r="D13" s="6">
        <v>3</v>
      </c>
      <c r="E13" s="6">
        <v>3</v>
      </c>
    </row>
    <row r="14" spans="1:8" ht="33" customHeight="1">
      <c r="A14" s="179">
        <v>5</v>
      </c>
      <c r="B14" s="180" t="s">
        <v>365</v>
      </c>
      <c r="C14" s="179" t="s">
        <v>366</v>
      </c>
      <c r="D14" s="6">
        <v>18.5</v>
      </c>
      <c r="E14" s="6">
        <v>18.5</v>
      </c>
    </row>
    <row r="15" spans="1:8" ht="22.5" customHeight="1">
      <c r="A15" s="179">
        <v>6</v>
      </c>
      <c r="B15" s="180" t="s">
        <v>367</v>
      </c>
      <c r="C15" s="179" t="s">
        <v>366</v>
      </c>
      <c r="D15" s="17">
        <v>5.8</v>
      </c>
      <c r="E15" s="17">
        <v>5.8</v>
      </c>
    </row>
    <row r="16" spans="1:8">
      <c r="A16" s="179">
        <v>7</v>
      </c>
      <c r="B16" s="180" t="s">
        <v>368</v>
      </c>
      <c r="C16" s="179" t="s">
        <v>369</v>
      </c>
      <c r="D16" s="6">
        <v>2123.7800000000002</v>
      </c>
      <c r="E16" s="6">
        <v>2123.7800000000002</v>
      </c>
    </row>
    <row r="17" spans="1:7" ht="31.5">
      <c r="A17" s="179">
        <v>8</v>
      </c>
      <c r="B17" s="180" t="s">
        <v>370</v>
      </c>
      <c r="C17" s="179" t="s">
        <v>369</v>
      </c>
      <c r="D17" s="6">
        <v>423.08</v>
      </c>
      <c r="E17" s="6">
        <v>423.08</v>
      </c>
      <c r="G17" s="342"/>
    </row>
    <row r="18" spans="1:7" ht="31.5">
      <c r="A18" s="179">
        <v>9</v>
      </c>
      <c r="B18" s="181" t="s">
        <v>371</v>
      </c>
      <c r="C18" s="179" t="s">
        <v>369</v>
      </c>
      <c r="D18" s="6">
        <v>1700.7</v>
      </c>
      <c r="E18" s="6">
        <v>1700.7</v>
      </c>
    </row>
    <row r="19" spans="1:7">
      <c r="A19" s="179" t="s">
        <v>191</v>
      </c>
      <c r="B19" s="181" t="s">
        <v>372</v>
      </c>
      <c r="C19" s="179" t="s">
        <v>369</v>
      </c>
      <c r="D19" s="6">
        <v>395.81</v>
      </c>
      <c r="E19" s="6">
        <v>395.81</v>
      </c>
    </row>
    <row r="20" spans="1:7">
      <c r="A20" s="182" t="s">
        <v>373</v>
      </c>
      <c r="B20" s="181" t="s">
        <v>374</v>
      </c>
      <c r="C20" s="179" t="s">
        <v>369</v>
      </c>
      <c r="D20" s="17">
        <v>24.69</v>
      </c>
      <c r="E20" s="6">
        <f>D20</f>
        <v>24.69</v>
      </c>
    </row>
    <row r="21" spans="1:7">
      <c r="A21" s="179" t="s">
        <v>192</v>
      </c>
      <c r="B21" s="181" t="s">
        <v>375</v>
      </c>
      <c r="C21" s="179" t="s">
        <v>369</v>
      </c>
      <c r="D21" s="6">
        <v>501.35</v>
      </c>
      <c r="E21" s="6">
        <v>501.35</v>
      </c>
    </row>
    <row r="22" spans="1:7">
      <c r="A22" s="179" t="s">
        <v>193</v>
      </c>
      <c r="B22" s="181" t="s">
        <v>376</v>
      </c>
      <c r="C22" s="179" t="s">
        <v>369</v>
      </c>
      <c r="D22" s="6">
        <v>26.43</v>
      </c>
      <c r="E22" s="6">
        <v>26.43</v>
      </c>
    </row>
    <row r="23" spans="1:7">
      <c r="A23" s="179" t="s">
        <v>377</v>
      </c>
      <c r="B23" s="181" t="s">
        <v>374</v>
      </c>
      <c r="C23" s="179" t="s">
        <v>369</v>
      </c>
      <c r="D23" s="17">
        <v>24.51</v>
      </c>
      <c r="E23" s="6">
        <v>24.51</v>
      </c>
    </row>
    <row r="24" spans="1:7">
      <c r="A24" s="179" t="s">
        <v>194</v>
      </c>
      <c r="B24" s="181" t="s">
        <v>378</v>
      </c>
      <c r="C24" s="179" t="s">
        <v>369</v>
      </c>
      <c r="D24" s="17">
        <v>777.11</v>
      </c>
      <c r="E24" s="6">
        <v>777.11</v>
      </c>
    </row>
    <row r="25" spans="1:7">
      <c r="A25" s="179" t="s">
        <v>379</v>
      </c>
      <c r="B25" s="181" t="s">
        <v>374</v>
      </c>
      <c r="C25" s="179" t="s">
        <v>369</v>
      </c>
      <c r="D25" s="17">
        <v>766.24</v>
      </c>
      <c r="E25" s="6">
        <v>766.24</v>
      </c>
    </row>
    <row r="26" spans="1:7" ht="31.5">
      <c r="A26" s="179">
        <v>10</v>
      </c>
      <c r="B26" s="181" t="s">
        <v>441</v>
      </c>
      <c r="C26" s="179" t="s">
        <v>369</v>
      </c>
      <c r="D26" s="17">
        <v>0</v>
      </c>
      <c r="E26" s="6">
        <f>D26</f>
        <v>0</v>
      </c>
    </row>
    <row r="27" spans="1:7">
      <c r="A27" s="179">
        <v>11</v>
      </c>
      <c r="B27" s="183" t="s">
        <v>380</v>
      </c>
      <c r="C27" s="184" t="s">
        <v>381</v>
      </c>
      <c r="D27" s="6">
        <v>2894.17</v>
      </c>
      <c r="E27" s="6">
        <v>2894.17</v>
      </c>
    </row>
    <row r="28" spans="1:7" ht="63">
      <c r="A28" s="179">
        <v>12</v>
      </c>
      <c r="B28" s="183" t="s">
        <v>382</v>
      </c>
      <c r="C28" s="184" t="s">
        <v>383</v>
      </c>
      <c r="D28" s="17">
        <v>1.36</v>
      </c>
      <c r="E28" s="6">
        <v>1.36</v>
      </c>
    </row>
    <row r="29" spans="1:7" ht="15.6" customHeight="1">
      <c r="A29" s="179" t="s">
        <v>442</v>
      </c>
      <c r="B29" s="183" t="s">
        <v>384</v>
      </c>
      <c r="C29" s="184" t="s">
        <v>383</v>
      </c>
      <c r="D29" s="444">
        <v>0.83</v>
      </c>
      <c r="E29" s="443">
        <v>0.83</v>
      </c>
    </row>
    <row r="30" spans="1:7" ht="15.75" customHeight="1">
      <c r="A30" s="179" t="s">
        <v>443</v>
      </c>
      <c r="B30" s="183" t="s">
        <v>385</v>
      </c>
      <c r="C30" s="184" t="s">
        <v>383</v>
      </c>
      <c r="D30" s="443">
        <v>0.53</v>
      </c>
      <c r="E30" s="443">
        <v>0.53</v>
      </c>
    </row>
    <row r="31" spans="1:7" ht="31.5">
      <c r="A31" s="179">
        <v>13</v>
      </c>
      <c r="B31" s="183" t="s">
        <v>444</v>
      </c>
      <c r="C31" s="183" t="s">
        <v>449</v>
      </c>
      <c r="D31" s="442">
        <v>0</v>
      </c>
      <c r="E31" s="442">
        <v>0</v>
      </c>
    </row>
    <row r="32" spans="1:7">
      <c r="A32" s="186">
        <v>14</v>
      </c>
      <c r="B32" s="187" t="s">
        <v>250</v>
      </c>
      <c r="C32" s="186" t="s">
        <v>242</v>
      </c>
      <c r="D32" s="17">
        <v>105.6</v>
      </c>
      <c r="E32" s="17">
        <v>105.6</v>
      </c>
    </row>
    <row r="33" spans="1:5" ht="31.5">
      <c r="A33" s="179">
        <v>15</v>
      </c>
      <c r="B33" s="181" t="s">
        <v>386</v>
      </c>
      <c r="C33" s="181"/>
      <c r="D33" s="6"/>
      <c r="E33" s="6"/>
    </row>
    <row r="34" spans="1:5">
      <c r="A34" s="179" t="s">
        <v>445</v>
      </c>
      <c r="B34" s="181" t="s">
        <v>387</v>
      </c>
      <c r="C34" s="179" t="s">
        <v>242</v>
      </c>
      <c r="D34" s="6">
        <v>107.3</v>
      </c>
      <c r="E34" s="6">
        <f>D34</f>
        <v>107.3</v>
      </c>
    </row>
    <row r="35" spans="1:5" hidden="1" outlineLevel="1">
      <c r="A35" s="179" t="s">
        <v>388</v>
      </c>
      <c r="B35" s="181" t="s">
        <v>389</v>
      </c>
      <c r="C35" s="179" t="s">
        <v>242</v>
      </c>
      <c r="D35" s="6">
        <v>0</v>
      </c>
      <c r="E35" s="6">
        <f>D35</f>
        <v>0</v>
      </c>
    </row>
    <row r="36" spans="1:5" hidden="1" outlineLevel="1">
      <c r="A36" s="179" t="s">
        <v>390</v>
      </c>
      <c r="B36" s="181" t="s">
        <v>391</v>
      </c>
      <c r="C36" s="179" t="s">
        <v>242</v>
      </c>
      <c r="D36" s="6">
        <v>0</v>
      </c>
      <c r="E36" s="6">
        <f>D36</f>
        <v>0</v>
      </c>
    </row>
    <row r="37" spans="1:5" collapsed="1">
      <c r="A37" s="179" t="s">
        <v>446</v>
      </c>
      <c r="B37" s="181" t="s">
        <v>392</v>
      </c>
      <c r="C37" s="179" t="s">
        <v>242</v>
      </c>
      <c r="D37" s="6">
        <v>103</v>
      </c>
      <c r="E37" s="6">
        <f>D37</f>
        <v>103</v>
      </c>
    </row>
    <row r="38" spans="1:5" hidden="1" outlineLevel="1">
      <c r="A38" s="179" t="s">
        <v>393</v>
      </c>
      <c r="B38" s="181" t="s">
        <v>394</v>
      </c>
      <c r="C38" s="179" t="s">
        <v>242</v>
      </c>
      <c r="D38" s="188">
        <v>0</v>
      </c>
      <c r="E38" s="188">
        <f>D38</f>
        <v>0</v>
      </c>
    </row>
    <row r="39" spans="1:5" collapsed="1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honeticPr fontId="3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9" sqref="D19"/>
    </sheetView>
  </sheetViews>
  <sheetFormatPr defaultColWidth="39.85546875" defaultRowHeight="15.75"/>
  <cols>
    <col min="1" max="1" width="7.42578125" style="299" customWidth="1"/>
    <col min="2" max="2" width="36.5703125" style="299" customWidth="1"/>
    <col min="3" max="3" width="14" style="299" customWidth="1"/>
    <col min="4" max="4" width="14.42578125" style="299" customWidth="1"/>
    <col min="5" max="5" width="15" style="299" customWidth="1"/>
    <col min="6" max="256" width="39.85546875" style="299"/>
    <col min="257" max="257" width="7.42578125" style="299" customWidth="1"/>
    <col min="258" max="258" width="36.5703125" style="299" customWidth="1"/>
    <col min="259" max="259" width="14" style="299" customWidth="1"/>
    <col min="260" max="260" width="14.42578125" style="299" customWidth="1"/>
    <col min="261" max="261" width="15" style="299" customWidth="1"/>
    <col min="262" max="512" width="39.85546875" style="299"/>
    <col min="513" max="513" width="7.42578125" style="299" customWidth="1"/>
    <col min="514" max="514" width="36.5703125" style="299" customWidth="1"/>
    <col min="515" max="515" width="14" style="299" customWidth="1"/>
    <col min="516" max="516" width="14.42578125" style="299" customWidth="1"/>
    <col min="517" max="517" width="15" style="299" customWidth="1"/>
    <col min="518" max="768" width="39.85546875" style="299"/>
    <col min="769" max="769" width="7.42578125" style="299" customWidth="1"/>
    <col min="770" max="770" width="36.5703125" style="299" customWidth="1"/>
    <col min="771" max="771" width="14" style="299" customWidth="1"/>
    <col min="772" max="772" width="14.42578125" style="299" customWidth="1"/>
    <col min="773" max="773" width="15" style="299" customWidth="1"/>
    <col min="774" max="1024" width="39.85546875" style="299"/>
    <col min="1025" max="1025" width="7.42578125" style="299" customWidth="1"/>
    <col min="1026" max="1026" width="36.5703125" style="299" customWidth="1"/>
    <col min="1027" max="1027" width="14" style="299" customWidth="1"/>
    <col min="1028" max="1028" width="14.42578125" style="299" customWidth="1"/>
    <col min="1029" max="1029" width="15" style="299" customWidth="1"/>
    <col min="1030" max="1280" width="39.85546875" style="299"/>
    <col min="1281" max="1281" width="7.42578125" style="299" customWidth="1"/>
    <col min="1282" max="1282" width="36.5703125" style="299" customWidth="1"/>
    <col min="1283" max="1283" width="14" style="299" customWidth="1"/>
    <col min="1284" max="1284" width="14.42578125" style="299" customWidth="1"/>
    <col min="1285" max="1285" width="15" style="299" customWidth="1"/>
    <col min="1286" max="1536" width="39.85546875" style="299"/>
    <col min="1537" max="1537" width="7.42578125" style="299" customWidth="1"/>
    <col min="1538" max="1538" width="36.5703125" style="299" customWidth="1"/>
    <col min="1539" max="1539" width="14" style="299" customWidth="1"/>
    <col min="1540" max="1540" width="14.42578125" style="299" customWidth="1"/>
    <col min="1541" max="1541" width="15" style="299" customWidth="1"/>
    <col min="1542" max="1792" width="39.85546875" style="299"/>
    <col min="1793" max="1793" width="7.42578125" style="299" customWidth="1"/>
    <col min="1794" max="1794" width="36.5703125" style="299" customWidth="1"/>
    <col min="1795" max="1795" width="14" style="299" customWidth="1"/>
    <col min="1796" max="1796" width="14.42578125" style="299" customWidth="1"/>
    <col min="1797" max="1797" width="15" style="299" customWidth="1"/>
    <col min="1798" max="2048" width="39.85546875" style="299"/>
    <col min="2049" max="2049" width="7.42578125" style="299" customWidth="1"/>
    <col min="2050" max="2050" width="36.5703125" style="299" customWidth="1"/>
    <col min="2051" max="2051" width="14" style="299" customWidth="1"/>
    <col min="2052" max="2052" width="14.42578125" style="299" customWidth="1"/>
    <col min="2053" max="2053" width="15" style="299" customWidth="1"/>
    <col min="2054" max="2304" width="39.85546875" style="299"/>
    <col min="2305" max="2305" width="7.42578125" style="299" customWidth="1"/>
    <col min="2306" max="2306" width="36.5703125" style="299" customWidth="1"/>
    <col min="2307" max="2307" width="14" style="299" customWidth="1"/>
    <col min="2308" max="2308" width="14.42578125" style="299" customWidth="1"/>
    <col min="2309" max="2309" width="15" style="299" customWidth="1"/>
    <col min="2310" max="2560" width="39.85546875" style="299"/>
    <col min="2561" max="2561" width="7.42578125" style="299" customWidth="1"/>
    <col min="2562" max="2562" width="36.5703125" style="299" customWidth="1"/>
    <col min="2563" max="2563" width="14" style="299" customWidth="1"/>
    <col min="2564" max="2564" width="14.42578125" style="299" customWidth="1"/>
    <col min="2565" max="2565" width="15" style="299" customWidth="1"/>
    <col min="2566" max="2816" width="39.85546875" style="299"/>
    <col min="2817" max="2817" width="7.42578125" style="299" customWidth="1"/>
    <col min="2818" max="2818" width="36.5703125" style="299" customWidth="1"/>
    <col min="2819" max="2819" width="14" style="299" customWidth="1"/>
    <col min="2820" max="2820" width="14.42578125" style="299" customWidth="1"/>
    <col min="2821" max="2821" width="15" style="299" customWidth="1"/>
    <col min="2822" max="3072" width="39.85546875" style="299"/>
    <col min="3073" max="3073" width="7.42578125" style="299" customWidth="1"/>
    <col min="3074" max="3074" width="36.5703125" style="299" customWidth="1"/>
    <col min="3075" max="3075" width="14" style="299" customWidth="1"/>
    <col min="3076" max="3076" width="14.42578125" style="299" customWidth="1"/>
    <col min="3077" max="3077" width="15" style="299" customWidth="1"/>
    <col min="3078" max="3328" width="39.85546875" style="299"/>
    <col min="3329" max="3329" width="7.42578125" style="299" customWidth="1"/>
    <col min="3330" max="3330" width="36.5703125" style="299" customWidth="1"/>
    <col min="3331" max="3331" width="14" style="299" customWidth="1"/>
    <col min="3332" max="3332" width="14.42578125" style="299" customWidth="1"/>
    <col min="3333" max="3333" width="15" style="299" customWidth="1"/>
    <col min="3334" max="3584" width="39.85546875" style="299"/>
    <col min="3585" max="3585" width="7.42578125" style="299" customWidth="1"/>
    <col min="3586" max="3586" width="36.5703125" style="299" customWidth="1"/>
    <col min="3587" max="3587" width="14" style="299" customWidth="1"/>
    <col min="3588" max="3588" width="14.42578125" style="299" customWidth="1"/>
    <col min="3589" max="3589" width="15" style="299" customWidth="1"/>
    <col min="3590" max="3840" width="39.85546875" style="299"/>
    <col min="3841" max="3841" width="7.42578125" style="299" customWidth="1"/>
    <col min="3842" max="3842" width="36.5703125" style="299" customWidth="1"/>
    <col min="3843" max="3843" width="14" style="299" customWidth="1"/>
    <col min="3844" max="3844" width="14.42578125" style="299" customWidth="1"/>
    <col min="3845" max="3845" width="15" style="299" customWidth="1"/>
    <col min="3846" max="4096" width="39.85546875" style="299"/>
    <col min="4097" max="4097" width="7.42578125" style="299" customWidth="1"/>
    <col min="4098" max="4098" width="36.5703125" style="299" customWidth="1"/>
    <col min="4099" max="4099" width="14" style="299" customWidth="1"/>
    <col min="4100" max="4100" width="14.42578125" style="299" customWidth="1"/>
    <col min="4101" max="4101" width="15" style="299" customWidth="1"/>
    <col min="4102" max="4352" width="39.85546875" style="299"/>
    <col min="4353" max="4353" width="7.42578125" style="299" customWidth="1"/>
    <col min="4354" max="4354" width="36.5703125" style="299" customWidth="1"/>
    <col min="4355" max="4355" width="14" style="299" customWidth="1"/>
    <col min="4356" max="4356" width="14.42578125" style="299" customWidth="1"/>
    <col min="4357" max="4357" width="15" style="299" customWidth="1"/>
    <col min="4358" max="4608" width="39.85546875" style="299"/>
    <col min="4609" max="4609" width="7.42578125" style="299" customWidth="1"/>
    <col min="4610" max="4610" width="36.5703125" style="299" customWidth="1"/>
    <col min="4611" max="4611" width="14" style="299" customWidth="1"/>
    <col min="4612" max="4612" width="14.42578125" style="299" customWidth="1"/>
    <col min="4613" max="4613" width="15" style="299" customWidth="1"/>
    <col min="4614" max="4864" width="39.85546875" style="299"/>
    <col min="4865" max="4865" width="7.42578125" style="299" customWidth="1"/>
    <col min="4866" max="4866" width="36.5703125" style="299" customWidth="1"/>
    <col min="4867" max="4867" width="14" style="299" customWidth="1"/>
    <col min="4868" max="4868" width="14.42578125" style="299" customWidth="1"/>
    <col min="4869" max="4869" width="15" style="299" customWidth="1"/>
    <col min="4870" max="5120" width="39.85546875" style="299"/>
    <col min="5121" max="5121" width="7.42578125" style="299" customWidth="1"/>
    <col min="5122" max="5122" width="36.5703125" style="299" customWidth="1"/>
    <col min="5123" max="5123" width="14" style="299" customWidth="1"/>
    <col min="5124" max="5124" width="14.42578125" style="299" customWidth="1"/>
    <col min="5125" max="5125" width="15" style="299" customWidth="1"/>
    <col min="5126" max="5376" width="39.85546875" style="299"/>
    <col min="5377" max="5377" width="7.42578125" style="299" customWidth="1"/>
    <col min="5378" max="5378" width="36.5703125" style="299" customWidth="1"/>
    <col min="5379" max="5379" width="14" style="299" customWidth="1"/>
    <col min="5380" max="5380" width="14.42578125" style="299" customWidth="1"/>
    <col min="5381" max="5381" width="15" style="299" customWidth="1"/>
    <col min="5382" max="5632" width="39.85546875" style="299"/>
    <col min="5633" max="5633" width="7.42578125" style="299" customWidth="1"/>
    <col min="5634" max="5634" width="36.5703125" style="299" customWidth="1"/>
    <col min="5635" max="5635" width="14" style="299" customWidth="1"/>
    <col min="5636" max="5636" width="14.42578125" style="299" customWidth="1"/>
    <col min="5637" max="5637" width="15" style="299" customWidth="1"/>
    <col min="5638" max="5888" width="39.85546875" style="299"/>
    <col min="5889" max="5889" width="7.42578125" style="299" customWidth="1"/>
    <col min="5890" max="5890" width="36.5703125" style="299" customWidth="1"/>
    <col min="5891" max="5891" width="14" style="299" customWidth="1"/>
    <col min="5892" max="5892" width="14.42578125" style="299" customWidth="1"/>
    <col min="5893" max="5893" width="15" style="299" customWidth="1"/>
    <col min="5894" max="6144" width="39.85546875" style="299"/>
    <col min="6145" max="6145" width="7.42578125" style="299" customWidth="1"/>
    <col min="6146" max="6146" width="36.5703125" style="299" customWidth="1"/>
    <col min="6147" max="6147" width="14" style="299" customWidth="1"/>
    <col min="6148" max="6148" width="14.42578125" style="299" customWidth="1"/>
    <col min="6149" max="6149" width="15" style="299" customWidth="1"/>
    <col min="6150" max="6400" width="39.85546875" style="299"/>
    <col min="6401" max="6401" width="7.42578125" style="299" customWidth="1"/>
    <col min="6402" max="6402" width="36.5703125" style="299" customWidth="1"/>
    <col min="6403" max="6403" width="14" style="299" customWidth="1"/>
    <col min="6404" max="6404" width="14.42578125" style="299" customWidth="1"/>
    <col min="6405" max="6405" width="15" style="299" customWidth="1"/>
    <col min="6406" max="6656" width="39.85546875" style="299"/>
    <col min="6657" max="6657" width="7.42578125" style="299" customWidth="1"/>
    <col min="6658" max="6658" width="36.5703125" style="299" customWidth="1"/>
    <col min="6659" max="6659" width="14" style="299" customWidth="1"/>
    <col min="6660" max="6660" width="14.42578125" style="299" customWidth="1"/>
    <col min="6661" max="6661" width="15" style="299" customWidth="1"/>
    <col min="6662" max="6912" width="39.85546875" style="299"/>
    <col min="6913" max="6913" width="7.42578125" style="299" customWidth="1"/>
    <col min="6914" max="6914" width="36.5703125" style="299" customWidth="1"/>
    <col min="6915" max="6915" width="14" style="299" customWidth="1"/>
    <col min="6916" max="6916" width="14.42578125" style="299" customWidth="1"/>
    <col min="6917" max="6917" width="15" style="299" customWidth="1"/>
    <col min="6918" max="7168" width="39.85546875" style="299"/>
    <col min="7169" max="7169" width="7.42578125" style="299" customWidth="1"/>
    <col min="7170" max="7170" width="36.5703125" style="299" customWidth="1"/>
    <col min="7171" max="7171" width="14" style="299" customWidth="1"/>
    <col min="7172" max="7172" width="14.42578125" style="299" customWidth="1"/>
    <col min="7173" max="7173" width="15" style="299" customWidth="1"/>
    <col min="7174" max="7424" width="39.85546875" style="299"/>
    <col min="7425" max="7425" width="7.42578125" style="299" customWidth="1"/>
    <col min="7426" max="7426" width="36.5703125" style="299" customWidth="1"/>
    <col min="7427" max="7427" width="14" style="299" customWidth="1"/>
    <col min="7428" max="7428" width="14.42578125" style="299" customWidth="1"/>
    <col min="7429" max="7429" width="15" style="299" customWidth="1"/>
    <col min="7430" max="7680" width="39.85546875" style="299"/>
    <col min="7681" max="7681" width="7.42578125" style="299" customWidth="1"/>
    <col min="7682" max="7682" width="36.5703125" style="299" customWidth="1"/>
    <col min="7683" max="7683" width="14" style="299" customWidth="1"/>
    <col min="7684" max="7684" width="14.42578125" style="299" customWidth="1"/>
    <col min="7685" max="7685" width="15" style="299" customWidth="1"/>
    <col min="7686" max="7936" width="39.85546875" style="299"/>
    <col min="7937" max="7937" width="7.42578125" style="299" customWidth="1"/>
    <col min="7938" max="7938" width="36.5703125" style="299" customWidth="1"/>
    <col min="7939" max="7939" width="14" style="299" customWidth="1"/>
    <col min="7940" max="7940" width="14.42578125" style="299" customWidth="1"/>
    <col min="7941" max="7941" width="15" style="299" customWidth="1"/>
    <col min="7942" max="8192" width="39.85546875" style="299"/>
    <col min="8193" max="8193" width="7.42578125" style="299" customWidth="1"/>
    <col min="8194" max="8194" width="36.5703125" style="299" customWidth="1"/>
    <col min="8195" max="8195" width="14" style="299" customWidth="1"/>
    <col min="8196" max="8196" width="14.42578125" style="299" customWidth="1"/>
    <col min="8197" max="8197" width="15" style="299" customWidth="1"/>
    <col min="8198" max="8448" width="39.85546875" style="299"/>
    <col min="8449" max="8449" width="7.42578125" style="299" customWidth="1"/>
    <col min="8450" max="8450" width="36.5703125" style="299" customWidth="1"/>
    <col min="8451" max="8451" width="14" style="299" customWidth="1"/>
    <col min="8452" max="8452" width="14.42578125" style="299" customWidth="1"/>
    <col min="8453" max="8453" width="15" style="299" customWidth="1"/>
    <col min="8454" max="8704" width="39.85546875" style="299"/>
    <col min="8705" max="8705" width="7.42578125" style="299" customWidth="1"/>
    <col min="8706" max="8706" width="36.5703125" style="299" customWidth="1"/>
    <col min="8707" max="8707" width="14" style="299" customWidth="1"/>
    <col min="8708" max="8708" width="14.42578125" style="299" customWidth="1"/>
    <col min="8709" max="8709" width="15" style="299" customWidth="1"/>
    <col min="8710" max="8960" width="39.85546875" style="299"/>
    <col min="8961" max="8961" width="7.42578125" style="299" customWidth="1"/>
    <col min="8962" max="8962" width="36.5703125" style="299" customWidth="1"/>
    <col min="8963" max="8963" width="14" style="299" customWidth="1"/>
    <col min="8964" max="8964" width="14.42578125" style="299" customWidth="1"/>
    <col min="8965" max="8965" width="15" style="299" customWidth="1"/>
    <col min="8966" max="9216" width="39.85546875" style="299"/>
    <col min="9217" max="9217" width="7.42578125" style="299" customWidth="1"/>
    <col min="9218" max="9218" width="36.5703125" style="299" customWidth="1"/>
    <col min="9219" max="9219" width="14" style="299" customWidth="1"/>
    <col min="9220" max="9220" width="14.42578125" style="299" customWidth="1"/>
    <col min="9221" max="9221" width="15" style="299" customWidth="1"/>
    <col min="9222" max="9472" width="39.85546875" style="299"/>
    <col min="9473" max="9473" width="7.42578125" style="299" customWidth="1"/>
    <col min="9474" max="9474" width="36.5703125" style="299" customWidth="1"/>
    <col min="9475" max="9475" width="14" style="299" customWidth="1"/>
    <col min="9476" max="9476" width="14.42578125" style="299" customWidth="1"/>
    <col min="9477" max="9477" width="15" style="299" customWidth="1"/>
    <col min="9478" max="9728" width="39.85546875" style="299"/>
    <col min="9729" max="9729" width="7.42578125" style="299" customWidth="1"/>
    <col min="9730" max="9730" width="36.5703125" style="299" customWidth="1"/>
    <col min="9731" max="9731" width="14" style="299" customWidth="1"/>
    <col min="9732" max="9732" width="14.42578125" style="299" customWidth="1"/>
    <col min="9733" max="9733" width="15" style="299" customWidth="1"/>
    <col min="9734" max="9984" width="39.85546875" style="299"/>
    <col min="9985" max="9985" width="7.42578125" style="299" customWidth="1"/>
    <col min="9986" max="9986" width="36.5703125" style="299" customWidth="1"/>
    <col min="9987" max="9987" width="14" style="299" customWidth="1"/>
    <col min="9988" max="9988" width="14.42578125" style="299" customWidth="1"/>
    <col min="9989" max="9989" width="15" style="299" customWidth="1"/>
    <col min="9990" max="10240" width="39.85546875" style="299"/>
    <col min="10241" max="10241" width="7.42578125" style="299" customWidth="1"/>
    <col min="10242" max="10242" width="36.5703125" style="299" customWidth="1"/>
    <col min="10243" max="10243" width="14" style="299" customWidth="1"/>
    <col min="10244" max="10244" width="14.42578125" style="299" customWidth="1"/>
    <col min="10245" max="10245" width="15" style="299" customWidth="1"/>
    <col min="10246" max="10496" width="39.85546875" style="299"/>
    <col min="10497" max="10497" width="7.42578125" style="299" customWidth="1"/>
    <col min="10498" max="10498" width="36.5703125" style="299" customWidth="1"/>
    <col min="10499" max="10499" width="14" style="299" customWidth="1"/>
    <col min="10500" max="10500" width="14.42578125" style="299" customWidth="1"/>
    <col min="10501" max="10501" width="15" style="299" customWidth="1"/>
    <col min="10502" max="10752" width="39.85546875" style="299"/>
    <col min="10753" max="10753" width="7.42578125" style="299" customWidth="1"/>
    <col min="10754" max="10754" width="36.5703125" style="299" customWidth="1"/>
    <col min="10755" max="10755" width="14" style="299" customWidth="1"/>
    <col min="10756" max="10756" width="14.42578125" style="299" customWidth="1"/>
    <col min="10757" max="10757" width="15" style="299" customWidth="1"/>
    <col min="10758" max="11008" width="39.85546875" style="299"/>
    <col min="11009" max="11009" width="7.42578125" style="299" customWidth="1"/>
    <col min="11010" max="11010" width="36.5703125" style="299" customWidth="1"/>
    <col min="11011" max="11011" width="14" style="299" customWidth="1"/>
    <col min="11012" max="11012" width="14.42578125" style="299" customWidth="1"/>
    <col min="11013" max="11013" width="15" style="299" customWidth="1"/>
    <col min="11014" max="11264" width="39.85546875" style="299"/>
    <col min="11265" max="11265" width="7.42578125" style="299" customWidth="1"/>
    <col min="11266" max="11266" width="36.5703125" style="299" customWidth="1"/>
    <col min="11267" max="11267" width="14" style="299" customWidth="1"/>
    <col min="11268" max="11268" width="14.42578125" style="299" customWidth="1"/>
    <col min="11269" max="11269" width="15" style="299" customWidth="1"/>
    <col min="11270" max="11520" width="39.85546875" style="299"/>
    <col min="11521" max="11521" width="7.42578125" style="299" customWidth="1"/>
    <col min="11522" max="11522" width="36.5703125" style="299" customWidth="1"/>
    <col min="11523" max="11523" width="14" style="299" customWidth="1"/>
    <col min="11524" max="11524" width="14.42578125" style="299" customWidth="1"/>
    <col min="11525" max="11525" width="15" style="299" customWidth="1"/>
    <col min="11526" max="11776" width="39.85546875" style="299"/>
    <col min="11777" max="11777" width="7.42578125" style="299" customWidth="1"/>
    <col min="11778" max="11778" width="36.5703125" style="299" customWidth="1"/>
    <col min="11779" max="11779" width="14" style="299" customWidth="1"/>
    <col min="11780" max="11780" width="14.42578125" style="299" customWidth="1"/>
    <col min="11781" max="11781" width="15" style="299" customWidth="1"/>
    <col min="11782" max="12032" width="39.85546875" style="299"/>
    <col min="12033" max="12033" width="7.42578125" style="299" customWidth="1"/>
    <col min="12034" max="12034" width="36.5703125" style="299" customWidth="1"/>
    <col min="12035" max="12035" width="14" style="299" customWidth="1"/>
    <col min="12036" max="12036" width="14.42578125" style="299" customWidth="1"/>
    <col min="12037" max="12037" width="15" style="299" customWidth="1"/>
    <col min="12038" max="12288" width="39.85546875" style="299"/>
    <col min="12289" max="12289" width="7.42578125" style="299" customWidth="1"/>
    <col min="12290" max="12290" width="36.5703125" style="299" customWidth="1"/>
    <col min="12291" max="12291" width="14" style="299" customWidth="1"/>
    <col min="12292" max="12292" width="14.42578125" style="299" customWidth="1"/>
    <col min="12293" max="12293" width="15" style="299" customWidth="1"/>
    <col min="12294" max="12544" width="39.85546875" style="299"/>
    <col min="12545" max="12545" width="7.42578125" style="299" customWidth="1"/>
    <col min="12546" max="12546" width="36.5703125" style="299" customWidth="1"/>
    <col min="12547" max="12547" width="14" style="299" customWidth="1"/>
    <col min="12548" max="12548" width="14.42578125" style="299" customWidth="1"/>
    <col min="12549" max="12549" width="15" style="299" customWidth="1"/>
    <col min="12550" max="12800" width="39.85546875" style="299"/>
    <col min="12801" max="12801" width="7.42578125" style="299" customWidth="1"/>
    <col min="12802" max="12802" width="36.5703125" style="299" customWidth="1"/>
    <col min="12803" max="12803" width="14" style="299" customWidth="1"/>
    <col min="12804" max="12804" width="14.42578125" style="299" customWidth="1"/>
    <col min="12805" max="12805" width="15" style="299" customWidth="1"/>
    <col min="12806" max="13056" width="39.85546875" style="299"/>
    <col min="13057" max="13057" width="7.42578125" style="299" customWidth="1"/>
    <col min="13058" max="13058" width="36.5703125" style="299" customWidth="1"/>
    <col min="13059" max="13059" width="14" style="299" customWidth="1"/>
    <col min="13060" max="13060" width="14.42578125" style="299" customWidth="1"/>
    <col min="13061" max="13061" width="15" style="299" customWidth="1"/>
    <col min="13062" max="13312" width="39.85546875" style="299"/>
    <col min="13313" max="13313" width="7.42578125" style="299" customWidth="1"/>
    <col min="13314" max="13314" width="36.5703125" style="299" customWidth="1"/>
    <col min="13315" max="13315" width="14" style="299" customWidth="1"/>
    <col min="13316" max="13316" width="14.42578125" style="299" customWidth="1"/>
    <col min="13317" max="13317" width="15" style="299" customWidth="1"/>
    <col min="13318" max="13568" width="39.85546875" style="299"/>
    <col min="13569" max="13569" width="7.42578125" style="299" customWidth="1"/>
    <col min="13570" max="13570" width="36.5703125" style="299" customWidth="1"/>
    <col min="13571" max="13571" width="14" style="299" customWidth="1"/>
    <col min="13572" max="13572" width="14.42578125" style="299" customWidth="1"/>
    <col min="13573" max="13573" width="15" style="299" customWidth="1"/>
    <col min="13574" max="13824" width="39.85546875" style="299"/>
    <col min="13825" max="13825" width="7.42578125" style="299" customWidth="1"/>
    <col min="13826" max="13826" width="36.5703125" style="299" customWidth="1"/>
    <col min="13827" max="13827" width="14" style="299" customWidth="1"/>
    <col min="13828" max="13828" width="14.42578125" style="299" customWidth="1"/>
    <col min="13829" max="13829" width="15" style="299" customWidth="1"/>
    <col min="13830" max="14080" width="39.85546875" style="299"/>
    <col min="14081" max="14081" width="7.42578125" style="299" customWidth="1"/>
    <col min="14082" max="14082" width="36.5703125" style="299" customWidth="1"/>
    <col min="14083" max="14083" width="14" style="299" customWidth="1"/>
    <col min="14084" max="14084" width="14.42578125" style="299" customWidth="1"/>
    <col min="14085" max="14085" width="15" style="299" customWidth="1"/>
    <col min="14086" max="14336" width="39.85546875" style="299"/>
    <col min="14337" max="14337" width="7.42578125" style="299" customWidth="1"/>
    <col min="14338" max="14338" width="36.5703125" style="299" customWidth="1"/>
    <col min="14339" max="14339" width="14" style="299" customWidth="1"/>
    <col min="14340" max="14340" width="14.42578125" style="299" customWidth="1"/>
    <col min="14341" max="14341" width="15" style="299" customWidth="1"/>
    <col min="14342" max="14592" width="39.85546875" style="299"/>
    <col min="14593" max="14593" width="7.42578125" style="299" customWidth="1"/>
    <col min="14594" max="14594" width="36.5703125" style="299" customWidth="1"/>
    <col min="14595" max="14595" width="14" style="299" customWidth="1"/>
    <col min="14596" max="14596" width="14.42578125" style="299" customWidth="1"/>
    <col min="14597" max="14597" width="15" style="299" customWidth="1"/>
    <col min="14598" max="14848" width="39.85546875" style="299"/>
    <col min="14849" max="14849" width="7.42578125" style="299" customWidth="1"/>
    <col min="14850" max="14850" width="36.5703125" style="299" customWidth="1"/>
    <col min="14851" max="14851" width="14" style="299" customWidth="1"/>
    <col min="14852" max="14852" width="14.42578125" style="299" customWidth="1"/>
    <col min="14853" max="14853" width="15" style="299" customWidth="1"/>
    <col min="14854" max="15104" width="39.85546875" style="299"/>
    <col min="15105" max="15105" width="7.42578125" style="299" customWidth="1"/>
    <col min="15106" max="15106" width="36.5703125" style="299" customWidth="1"/>
    <col min="15107" max="15107" width="14" style="299" customWidth="1"/>
    <col min="15108" max="15108" width="14.42578125" style="299" customWidth="1"/>
    <col min="15109" max="15109" width="15" style="299" customWidth="1"/>
    <col min="15110" max="15360" width="39.85546875" style="299"/>
    <col min="15361" max="15361" width="7.42578125" style="299" customWidth="1"/>
    <col min="15362" max="15362" width="36.5703125" style="299" customWidth="1"/>
    <col min="15363" max="15363" width="14" style="299" customWidth="1"/>
    <col min="15364" max="15364" width="14.42578125" style="299" customWidth="1"/>
    <col min="15365" max="15365" width="15" style="299" customWidth="1"/>
    <col min="15366" max="15616" width="39.85546875" style="299"/>
    <col min="15617" max="15617" width="7.42578125" style="299" customWidth="1"/>
    <col min="15618" max="15618" width="36.5703125" style="299" customWidth="1"/>
    <col min="15619" max="15619" width="14" style="299" customWidth="1"/>
    <col min="15620" max="15620" width="14.42578125" style="299" customWidth="1"/>
    <col min="15621" max="15621" width="15" style="299" customWidth="1"/>
    <col min="15622" max="15872" width="39.85546875" style="299"/>
    <col min="15873" max="15873" width="7.42578125" style="299" customWidth="1"/>
    <col min="15874" max="15874" width="36.5703125" style="299" customWidth="1"/>
    <col min="15875" max="15875" width="14" style="299" customWidth="1"/>
    <col min="15876" max="15876" width="14.42578125" style="299" customWidth="1"/>
    <col min="15877" max="15877" width="15" style="299" customWidth="1"/>
    <col min="15878" max="16128" width="39.85546875" style="299"/>
    <col min="16129" max="16129" width="7.42578125" style="299" customWidth="1"/>
    <col min="16130" max="16130" width="36.5703125" style="299" customWidth="1"/>
    <col min="16131" max="16131" width="14" style="299" customWidth="1"/>
    <col min="16132" max="16132" width="14.42578125" style="299" customWidth="1"/>
    <col min="16133" max="16133" width="15" style="299" customWidth="1"/>
    <col min="16134" max="16384" width="39.85546875" style="299"/>
  </cols>
  <sheetData>
    <row r="1" spans="1:6" ht="63.75" customHeight="1">
      <c r="C1" s="368" t="s">
        <v>459</v>
      </c>
      <c r="D1" s="368"/>
      <c r="E1" s="368"/>
    </row>
    <row r="2" spans="1:6" ht="75.75" customHeight="1">
      <c r="A2" s="369" t="s">
        <v>460</v>
      </c>
      <c r="B2" s="369"/>
      <c r="C2" s="369"/>
      <c r="D2" s="369"/>
      <c r="E2" s="369"/>
      <c r="F2" s="300"/>
    </row>
    <row r="3" spans="1:6" ht="18.75">
      <c r="C3" s="301"/>
    </row>
    <row r="4" spans="1:6" ht="15.6" customHeight="1">
      <c r="A4" s="370" t="s">
        <v>160</v>
      </c>
      <c r="B4" s="370" t="s">
        <v>239</v>
      </c>
      <c r="C4" s="370" t="s">
        <v>240</v>
      </c>
      <c r="D4" s="373" t="s">
        <v>447</v>
      </c>
      <c r="E4" s="374"/>
    </row>
    <row r="5" spans="1:6" ht="18.600000000000001" customHeight="1">
      <c r="A5" s="371"/>
      <c r="B5" s="371"/>
      <c r="C5" s="371"/>
      <c r="D5" s="370" t="s">
        <v>359</v>
      </c>
      <c r="E5" s="370" t="s">
        <v>360</v>
      </c>
    </row>
    <row r="6" spans="1:6" ht="18.600000000000001" customHeight="1">
      <c r="A6" s="372"/>
      <c r="B6" s="372"/>
      <c r="C6" s="372"/>
      <c r="D6" s="372"/>
      <c r="E6" s="372"/>
    </row>
    <row r="7" spans="1:6">
      <c r="A7" s="302">
        <v>1</v>
      </c>
      <c r="B7" s="302">
        <v>2</v>
      </c>
      <c r="C7" s="302">
        <v>3</v>
      </c>
      <c r="D7" s="302">
        <v>4</v>
      </c>
      <c r="E7" s="302">
        <v>5</v>
      </c>
    </row>
    <row r="8" spans="1:6" ht="31.5">
      <c r="A8" s="302">
        <v>1</v>
      </c>
      <c r="B8" s="303" t="s">
        <v>461</v>
      </c>
      <c r="C8" s="302" t="s">
        <v>248</v>
      </c>
      <c r="D8" s="304">
        <v>17.079999999999998</v>
      </c>
      <c r="E8" s="304">
        <v>17.079999999999998</v>
      </c>
    </row>
    <row r="9" spans="1:6" ht="31.5">
      <c r="A9" s="302">
        <v>2</v>
      </c>
      <c r="B9" s="303" t="s">
        <v>462</v>
      </c>
      <c r="C9" s="302" t="s">
        <v>363</v>
      </c>
      <c r="D9" s="304">
        <v>7</v>
      </c>
      <c r="E9" s="304">
        <v>7</v>
      </c>
    </row>
    <row r="10" spans="1:6" ht="19.5" customHeight="1">
      <c r="A10" s="302">
        <v>3</v>
      </c>
      <c r="B10" s="303" t="s">
        <v>463</v>
      </c>
      <c r="C10" s="302" t="s">
        <v>363</v>
      </c>
      <c r="D10" s="304">
        <v>1</v>
      </c>
      <c r="E10" s="304">
        <v>1</v>
      </c>
    </row>
    <row r="11" spans="1:6" ht="31.5">
      <c r="A11" s="302">
        <v>4</v>
      </c>
      <c r="B11" s="303" t="s">
        <v>464</v>
      </c>
      <c r="C11" s="302" t="s">
        <v>369</v>
      </c>
      <c r="D11" s="304">
        <v>954.59</v>
      </c>
      <c r="E11" s="304">
        <v>945.59</v>
      </c>
    </row>
    <row r="12" spans="1:6">
      <c r="A12" s="302">
        <v>5</v>
      </c>
      <c r="B12" s="303" t="s">
        <v>465</v>
      </c>
      <c r="C12" s="302" t="s">
        <v>369</v>
      </c>
      <c r="D12" s="305">
        <v>636.04</v>
      </c>
      <c r="E12" s="304">
        <v>636.04</v>
      </c>
    </row>
    <row r="13" spans="1:6">
      <c r="A13" s="302">
        <v>6</v>
      </c>
      <c r="B13" s="303" t="s">
        <v>466</v>
      </c>
      <c r="C13" s="302" t="s">
        <v>369</v>
      </c>
      <c r="D13" s="305">
        <v>33.22</v>
      </c>
      <c r="E13" s="304">
        <v>33.22</v>
      </c>
    </row>
    <row r="14" spans="1:6">
      <c r="A14" s="302">
        <v>7</v>
      </c>
      <c r="B14" s="303" t="s">
        <v>467</v>
      </c>
      <c r="C14" s="302" t="s">
        <v>369</v>
      </c>
      <c r="D14" s="305">
        <v>255.02</v>
      </c>
      <c r="E14" s="304">
        <f t="shared" ref="E14:E25" si="0">D14</f>
        <v>255.02</v>
      </c>
    </row>
    <row r="15" spans="1:6" ht="31.5">
      <c r="A15" s="302">
        <v>8</v>
      </c>
      <c r="B15" s="303" t="s">
        <v>468</v>
      </c>
      <c r="C15" s="302" t="s">
        <v>369</v>
      </c>
      <c r="D15" s="304">
        <f>D11</f>
        <v>954.59</v>
      </c>
      <c r="E15" s="304">
        <f t="shared" si="0"/>
        <v>954.59</v>
      </c>
    </row>
    <row r="16" spans="1:6" ht="31.5">
      <c r="A16" s="302">
        <v>9</v>
      </c>
      <c r="B16" s="303" t="s">
        <v>469</v>
      </c>
      <c r="C16" s="302" t="s">
        <v>369</v>
      </c>
      <c r="D16" s="304">
        <v>0</v>
      </c>
      <c r="E16" s="304">
        <v>0</v>
      </c>
    </row>
    <row r="17" spans="1:5">
      <c r="A17" s="302">
        <v>10</v>
      </c>
      <c r="B17" s="306" t="s">
        <v>380</v>
      </c>
      <c r="C17" s="307" t="s">
        <v>381</v>
      </c>
      <c r="D17" s="304">
        <v>986.88</v>
      </c>
      <c r="E17" s="304">
        <f t="shared" si="0"/>
        <v>986.88</v>
      </c>
    </row>
    <row r="18" spans="1:5" ht="63">
      <c r="A18" s="302">
        <v>11</v>
      </c>
      <c r="B18" s="306" t="s">
        <v>382</v>
      </c>
      <c r="C18" s="307"/>
      <c r="D18" s="304">
        <v>1.03</v>
      </c>
      <c r="E18" s="304">
        <v>1.03</v>
      </c>
    </row>
    <row r="19" spans="1:5" ht="15.6" customHeight="1">
      <c r="A19" s="302" t="s">
        <v>204</v>
      </c>
      <c r="B19" s="306" t="s">
        <v>470</v>
      </c>
      <c r="C19" s="307" t="s">
        <v>383</v>
      </c>
      <c r="D19" s="441">
        <v>0.7</v>
      </c>
      <c r="E19" s="438">
        <v>0.7</v>
      </c>
    </row>
    <row r="20" spans="1:5" ht="15.75" customHeight="1">
      <c r="A20" s="302" t="s">
        <v>205</v>
      </c>
      <c r="B20" s="306" t="s">
        <v>471</v>
      </c>
      <c r="C20" s="307" t="s">
        <v>383</v>
      </c>
      <c r="D20" s="440">
        <v>0.33</v>
      </c>
      <c r="E20" s="438">
        <v>0.33</v>
      </c>
    </row>
    <row r="21" spans="1:5" ht="31.5">
      <c r="A21" s="302">
        <v>12</v>
      </c>
      <c r="B21" s="306" t="s">
        <v>472</v>
      </c>
      <c r="C21" s="306" t="s">
        <v>473</v>
      </c>
      <c r="D21" s="439">
        <v>1E-3</v>
      </c>
      <c r="E21" s="304">
        <f t="shared" si="0"/>
        <v>1E-3</v>
      </c>
    </row>
    <row r="22" spans="1:5">
      <c r="A22" s="186">
        <v>13</v>
      </c>
      <c r="B22" s="187" t="s">
        <v>250</v>
      </c>
      <c r="C22" s="186" t="s">
        <v>242</v>
      </c>
      <c r="D22" s="305">
        <v>105.6</v>
      </c>
      <c r="E22" s="304">
        <f t="shared" si="0"/>
        <v>105.6</v>
      </c>
    </row>
    <row r="23" spans="1:5" ht="31.5">
      <c r="A23" s="302">
        <v>14</v>
      </c>
      <c r="B23" s="303" t="s">
        <v>386</v>
      </c>
      <c r="C23" s="303"/>
      <c r="D23" s="305"/>
      <c r="E23" s="304"/>
    </row>
    <row r="24" spans="1:5">
      <c r="A24" s="302" t="s">
        <v>474</v>
      </c>
      <c r="B24" s="303" t="s">
        <v>387</v>
      </c>
      <c r="C24" s="302" t="s">
        <v>242</v>
      </c>
      <c r="D24" s="305">
        <v>107.3</v>
      </c>
      <c r="E24" s="304">
        <f t="shared" si="0"/>
        <v>107.3</v>
      </c>
    </row>
    <row r="25" spans="1:5">
      <c r="A25" s="302" t="s">
        <v>388</v>
      </c>
      <c r="B25" s="303" t="s">
        <v>392</v>
      </c>
      <c r="C25" s="302" t="s">
        <v>242</v>
      </c>
      <c r="D25" s="305">
        <v>103</v>
      </c>
      <c r="E25" s="304">
        <f t="shared" si="0"/>
        <v>103</v>
      </c>
    </row>
  </sheetData>
  <mergeCells count="8">
    <mergeCell ref="C1:E1"/>
    <mergeCell ref="A2:E2"/>
    <mergeCell ref="A4:A6"/>
    <mergeCell ref="B4:B6"/>
    <mergeCell ref="C4:C6"/>
    <mergeCell ref="D4:E4"/>
    <mergeCell ref="D5:D6"/>
    <mergeCell ref="E5:E6"/>
  </mergeCells>
  <pageMargins left="0.78740157480314965" right="0.70866141732283472" top="0.78740157480314965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topLeftCell="A2" zoomScaleSheetLayoutView="100" workbookViewId="0">
      <selection activeCell="K9" sqref="K9"/>
    </sheetView>
  </sheetViews>
  <sheetFormatPr defaultRowHeight="15.75"/>
  <cols>
    <col min="1" max="1" width="8.7109375" style="189" customWidth="1"/>
    <col min="2" max="2" width="35.5703125" style="189" customWidth="1"/>
    <col min="3" max="3" width="14.42578125" style="190" customWidth="1"/>
    <col min="4" max="4" width="12" style="190" customWidth="1"/>
    <col min="5" max="5" width="15.7109375" style="189" customWidth="1"/>
    <col min="6" max="6" width="3.5703125" style="189" customWidth="1"/>
    <col min="7" max="7" width="22" style="189" hidden="1" customWidth="1"/>
    <col min="8" max="256" width="9.140625" style="189"/>
    <col min="257" max="257" width="8.7109375" style="189" customWidth="1"/>
    <col min="258" max="258" width="35.5703125" style="189" customWidth="1"/>
    <col min="259" max="259" width="14.42578125" style="189" customWidth="1"/>
    <col min="260" max="260" width="12" style="189" customWidth="1"/>
    <col min="261" max="261" width="15.7109375" style="189" customWidth="1"/>
    <col min="262" max="262" width="3.5703125" style="189" customWidth="1"/>
    <col min="263" max="263" width="0" style="189" hidden="1" customWidth="1"/>
    <col min="264" max="512" width="9.140625" style="189"/>
    <col min="513" max="513" width="8.7109375" style="189" customWidth="1"/>
    <col min="514" max="514" width="35.5703125" style="189" customWidth="1"/>
    <col min="515" max="515" width="14.42578125" style="189" customWidth="1"/>
    <col min="516" max="516" width="12" style="189" customWidth="1"/>
    <col min="517" max="517" width="15.7109375" style="189" customWidth="1"/>
    <col min="518" max="518" width="3.5703125" style="189" customWidth="1"/>
    <col min="519" max="519" width="0" style="189" hidden="1" customWidth="1"/>
    <col min="520" max="768" width="9.140625" style="189"/>
    <col min="769" max="769" width="8.7109375" style="189" customWidth="1"/>
    <col min="770" max="770" width="35.5703125" style="189" customWidth="1"/>
    <col min="771" max="771" width="14.42578125" style="189" customWidth="1"/>
    <col min="772" max="772" width="12" style="189" customWidth="1"/>
    <col min="773" max="773" width="15.7109375" style="189" customWidth="1"/>
    <col min="774" max="774" width="3.5703125" style="189" customWidth="1"/>
    <col min="775" max="775" width="0" style="189" hidden="1" customWidth="1"/>
    <col min="776" max="1024" width="9.140625" style="189"/>
    <col min="1025" max="1025" width="8.7109375" style="189" customWidth="1"/>
    <col min="1026" max="1026" width="35.5703125" style="189" customWidth="1"/>
    <col min="1027" max="1027" width="14.42578125" style="189" customWidth="1"/>
    <col min="1028" max="1028" width="12" style="189" customWidth="1"/>
    <col min="1029" max="1029" width="15.7109375" style="189" customWidth="1"/>
    <col min="1030" max="1030" width="3.5703125" style="189" customWidth="1"/>
    <col min="1031" max="1031" width="0" style="189" hidden="1" customWidth="1"/>
    <col min="1032" max="1280" width="9.140625" style="189"/>
    <col min="1281" max="1281" width="8.7109375" style="189" customWidth="1"/>
    <col min="1282" max="1282" width="35.5703125" style="189" customWidth="1"/>
    <col min="1283" max="1283" width="14.42578125" style="189" customWidth="1"/>
    <col min="1284" max="1284" width="12" style="189" customWidth="1"/>
    <col min="1285" max="1285" width="15.7109375" style="189" customWidth="1"/>
    <col min="1286" max="1286" width="3.5703125" style="189" customWidth="1"/>
    <col min="1287" max="1287" width="0" style="189" hidden="1" customWidth="1"/>
    <col min="1288" max="1536" width="9.140625" style="189"/>
    <col min="1537" max="1537" width="8.7109375" style="189" customWidth="1"/>
    <col min="1538" max="1538" width="35.5703125" style="189" customWidth="1"/>
    <col min="1539" max="1539" width="14.42578125" style="189" customWidth="1"/>
    <col min="1540" max="1540" width="12" style="189" customWidth="1"/>
    <col min="1541" max="1541" width="15.7109375" style="189" customWidth="1"/>
    <col min="1542" max="1542" width="3.5703125" style="189" customWidth="1"/>
    <col min="1543" max="1543" width="0" style="189" hidden="1" customWidth="1"/>
    <col min="1544" max="1792" width="9.140625" style="189"/>
    <col min="1793" max="1793" width="8.7109375" style="189" customWidth="1"/>
    <col min="1794" max="1794" width="35.5703125" style="189" customWidth="1"/>
    <col min="1795" max="1795" width="14.42578125" style="189" customWidth="1"/>
    <col min="1796" max="1796" width="12" style="189" customWidth="1"/>
    <col min="1797" max="1797" width="15.7109375" style="189" customWidth="1"/>
    <col min="1798" max="1798" width="3.5703125" style="189" customWidth="1"/>
    <col min="1799" max="1799" width="0" style="189" hidden="1" customWidth="1"/>
    <col min="1800" max="2048" width="9.140625" style="189"/>
    <col min="2049" max="2049" width="8.7109375" style="189" customWidth="1"/>
    <col min="2050" max="2050" width="35.5703125" style="189" customWidth="1"/>
    <col min="2051" max="2051" width="14.42578125" style="189" customWidth="1"/>
    <col min="2052" max="2052" width="12" style="189" customWidth="1"/>
    <col min="2053" max="2053" width="15.7109375" style="189" customWidth="1"/>
    <col min="2054" max="2054" width="3.5703125" style="189" customWidth="1"/>
    <col min="2055" max="2055" width="0" style="189" hidden="1" customWidth="1"/>
    <col min="2056" max="2304" width="9.140625" style="189"/>
    <col min="2305" max="2305" width="8.7109375" style="189" customWidth="1"/>
    <col min="2306" max="2306" width="35.5703125" style="189" customWidth="1"/>
    <col min="2307" max="2307" width="14.42578125" style="189" customWidth="1"/>
    <col min="2308" max="2308" width="12" style="189" customWidth="1"/>
    <col min="2309" max="2309" width="15.7109375" style="189" customWidth="1"/>
    <col min="2310" max="2310" width="3.5703125" style="189" customWidth="1"/>
    <col min="2311" max="2311" width="0" style="189" hidden="1" customWidth="1"/>
    <col min="2312" max="2560" width="9.140625" style="189"/>
    <col min="2561" max="2561" width="8.7109375" style="189" customWidth="1"/>
    <col min="2562" max="2562" width="35.5703125" style="189" customWidth="1"/>
    <col min="2563" max="2563" width="14.42578125" style="189" customWidth="1"/>
    <col min="2564" max="2564" width="12" style="189" customWidth="1"/>
    <col min="2565" max="2565" width="15.7109375" style="189" customWidth="1"/>
    <col min="2566" max="2566" width="3.5703125" style="189" customWidth="1"/>
    <col min="2567" max="2567" width="0" style="189" hidden="1" customWidth="1"/>
    <col min="2568" max="2816" width="9.140625" style="189"/>
    <col min="2817" max="2817" width="8.7109375" style="189" customWidth="1"/>
    <col min="2818" max="2818" width="35.5703125" style="189" customWidth="1"/>
    <col min="2819" max="2819" width="14.42578125" style="189" customWidth="1"/>
    <col min="2820" max="2820" width="12" style="189" customWidth="1"/>
    <col min="2821" max="2821" width="15.7109375" style="189" customWidth="1"/>
    <col min="2822" max="2822" width="3.5703125" style="189" customWidth="1"/>
    <col min="2823" max="2823" width="0" style="189" hidden="1" customWidth="1"/>
    <col min="2824" max="3072" width="9.140625" style="189"/>
    <col min="3073" max="3073" width="8.7109375" style="189" customWidth="1"/>
    <col min="3074" max="3074" width="35.5703125" style="189" customWidth="1"/>
    <col min="3075" max="3075" width="14.42578125" style="189" customWidth="1"/>
    <col min="3076" max="3076" width="12" style="189" customWidth="1"/>
    <col min="3077" max="3077" width="15.7109375" style="189" customWidth="1"/>
    <col min="3078" max="3078" width="3.5703125" style="189" customWidth="1"/>
    <col min="3079" max="3079" width="0" style="189" hidden="1" customWidth="1"/>
    <col min="3080" max="3328" width="9.140625" style="189"/>
    <col min="3329" max="3329" width="8.7109375" style="189" customWidth="1"/>
    <col min="3330" max="3330" width="35.5703125" style="189" customWidth="1"/>
    <col min="3331" max="3331" width="14.42578125" style="189" customWidth="1"/>
    <col min="3332" max="3332" width="12" style="189" customWidth="1"/>
    <col min="3333" max="3333" width="15.7109375" style="189" customWidth="1"/>
    <col min="3334" max="3334" width="3.5703125" style="189" customWidth="1"/>
    <col min="3335" max="3335" width="0" style="189" hidden="1" customWidth="1"/>
    <col min="3336" max="3584" width="9.140625" style="189"/>
    <col min="3585" max="3585" width="8.7109375" style="189" customWidth="1"/>
    <col min="3586" max="3586" width="35.5703125" style="189" customWidth="1"/>
    <col min="3587" max="3587" width="14.42578125" style="189" customWidth="1"/>
    <col min="3588" max="3588" width="12" style="189" customWidth="1"/>
    <col min="3589" max="3589" width="15.7109375" style="189" customWidth="1"/>
    <col min="3590" max="3590" width="3.5703125" style="189" customWidth="1"/>
    <col min="3591" max="3591" width="0" style="189" hidden="1" customWidth="1"/>
    <col min="3592" max="3840" width="9.140625" style="189"/>
    <col min="3841" max="3841" width="8.7109375" style="189" customWidth="1"/>
    <col min="3842" max="3842" width="35.5703125" style="189" customWidth="1"/>
    <col min="3843" max="3843" width="14.42578125" style="189" customWidth="1"/>
    <col min="3844" max="3844" width="12" style="189" customWidth="1"/>
    <col min="3845" max="3845" width="15.7109375" style="189" customWidth="1"/>
    <col min="3846" max="3846" width="3.5703125" style="189" customWidth="1"/>
    <col min="3847" max="3847" width="0" style="189" hidden="1" customWidth="1"/>
    <col min="3848" max="4096" width="9.140625" style="189"/>
    <col min="4097" max="4097" width="8.7109375" style="189" customWidth="1"/>
    <col min="4098" max="4098" width="35.5703125" style="189" customWidth="1"/>
    <col min="4099" max="4099" width="14.42578125" style="189" customWidth="1"/>
    <col min="4100" max="4100" width="12" style="189" customWidth="1"/>
    <col min="4101" max="4101" width="15.7109375" style="189" customWidth="1"/>
    <col min="4102" max="4102" width="3.5703125" style="189" customWidth="1"/>
    <col min="4103" max="4103" width="0" style="189" hidden="1" customWidth="1"/>
    <col min="4104" max="4352" width="9.140625" style="189"/>
    <col min="4353" max="4353" width="8.7109375" style="189" customWidth="1"/>
    <col min="4354" max="4354" width="35.5703125" style="189" customWidth="1"/>
    <col min="4355" max="4355" width="14.42578125" style="189" customWidth="1"/>
    <col min="4356" max="4356" width="12" style="189" customWidth="1"/>
    <col min="4357" max="4357" width="15.7109375" style="189" customWidth="1"/>
    <col min="4358" max="4358" width="3.5703125" style="189" customWidth="1"/>
    <col min="4359" max="4359" width="0" style="189" hidden="1" customWidth="1"/>
    <col min="4360" max="4608" width="9.140625" style="189"/>
    <col min="4609" max="4609" width="8.7109375" style="189" customWidth="1"/>
    <col min="4610" max="4610" width="35.5703125" style="189" customWidth="1"/>
    <col min="4611" max="4611" width="14.42578125" style="189" customWidth="1"/>
    <col min="4612" max="4612" width="12" style="189" customWidth="1"/>
    <col min="4613" max="4613" width="15.7109375" style="189" customWidth="1"/>
    <col min="4614" max="4614" width="3.5703125" style="189" customWidth="1"/>
    <col min="4615" max="4615" width="0" style="189" hidden="1" customWidth="1"/>
    <col min="4616" max="4864" width="9.140625" style="189"/>
    <col min="4865" max="4865" width="8.7109375" style="189" customWidth="1"/>
    <col min="4866" max="4866" width="35.5703125" style="189" customWidth="1"/>
    <col min="4867" max="4867" width="14.42578125" style="189" customWidth="1"/>
    <col min="4868" max="4868" width="12" style="189" customWidth="1"/>
    <col min="4869" max="4869" width="15.7109375" style="189" customWidth="1"/>
    <col min="4870" max="4870" width="3.5703125" style="189" customWidth="1"/>
    <col min="4871" max="4871" width="0" style="189" hidden="1" customWidth="1"/>
    <col min="4872" max="5120" width="9.140625" style="189"/>
    <col min="5121" max="5121" width="8.7109375" style="189" customWidth="1"/>
    <col min="5122" max="5122" width="35.5703125" style="189" customWidth="1"/>
    <col min="5123" max="5123" width="14.42578125" style="189" customWidth="1"/>
    <col min="5124" max="5124" width="12" style="189" customWidth="1"/>
    <col min="5125" max="5125" width="15.7109375" style="189" customWidth="1"/>
    <col min="5126" max="5126" width="3.5703125" style="189" customWidth="1"/>
    <col min="5127" max="5127" width="0" style="189" hidden="1" customWidth="1"/>
    <col min="5128" max="5376" width="9.140625" style="189"/>
    <col min="5377" max="5377" width="8.7109375" style="189" customWidth="1"/>
    <col min="5378" max="5378" width="35.5703125" style="189" customWidth="1"/>
    <col min="5379" max="5379" width="14.42578125" style="189" customWidth="1"/>
    <col min="5380" max="5380" width="12" style="189" customWidth="1"/>
    <col min="5381" max="5381" width="15.7109375" style="189" customWidth="1"/>
    <col min="5382" max="5382" width="3.5703125" style="189" customWidth="1"/>
    <col min="5383" max="5383" width="0" style="189" hidden="1" customWidth="1"/>
    <col min="5384" max="5632" width="9.140625" style="189"/>
    <col min="5633" max="5633" width="8.7109375" style="189" customWidth="1"/>
    <col min="5634" max="5634" width="35.5703125" style="189" customWidth="1"/>
    <col min="5635" max="5635" width="14.42578125" style="189" customWidth="1"/>
    <col min="5636" max="5636" width="12" style="189" customWidth="1"/>
    <col min="5637" max="5637" width="15.7109375" style="189" customWidth="1"/>
    <col min="5638" max="5638" width="3.5703125" style="189" customWidth="1"/>
    <col min="5639" max="5639" width="0" style="189" hidden="1" customWidth="1"/>
    <col min="5640" max="5888" width="9.140625" style="189"/>
    <col min="5889" max="5889" width="8.7109375" style="189" customWidth="1"/>
    <col min="5890" max="5890" width="35.5703125" style="189" customWidth="1"/>
    <col min="5891" max="5891" width="14.42578125" style="189" customWidth="1"/>
    <col min="5892" max="5892" width="12" style="189" customWidth="1"/>
    <col min="5893" max="5893" width="15.7109375" style="189" customWidth="1"/>
    <col min="5894" max="5894" width="3.5703125" style="189" customWidth="1"/>
    <col min="5895" max="5895" width="0" style="189" hidden="1" customWidth="1"/>
    <col min="5896" max="6144" width="9.140625" style="189"/>
    <col min="6145" max="6145" width="8.7109375" style="189" customWidth="1"/>
    <col min="6146" max="6146" width="35.5703125" style="189" customWidth="1"/>
    <col min="6147" max="6147" width="14.42578125" style="189" customWidth="1"/>
    <col min="6148" max="6148" width="12" style="189" customWidth="1"/>
    <col min="6149" max="6149" width="15.7109375" style="189" customWidth="1"/>
    <col min="6150" max="6150" width="3.5703125" style="189" customWidth="1"/>
    <col min="6151" max="6151" width="0" style="189" hidden="1" customWidth="1"/>
    <col min="6152" max="6400" width="9.140625" style="189"/>
    <col min="6401" max="6401" width="8.7109375" style="189" customWidth="1"/>
    <col min="6402" max="6402" width="35.5703125" style="189" customWidth="1"/>
    <col min="6403" max="6403" width="14.42578125" style="189" customWidth="1"/>
    <col min="6404" max="6404" width="12" style="189" customWidth="1"/>
    <col min="6405" max="6405" width="15.7109375" style="189" customWidth="1"/>
    <col min="6406" max="6406" width="3.5703125" style="189" customWidth="1"/>
    <col min="6407" max="6407" width="0" style="189" hidden="1" customWidth="1"/>
    <col min="6408" max="6656" width="9.140625" style="189"/>
    <col min="6657" max="6657" width="8.7109375" style="189" customWidth="1"/>
    <col min="6658" max="6658" width="35.5703125" style="189" customWidth="1"/>
    <col min="6659" max="6659" width="14.42578125" style="189" customWidth="1"/>
    <col min="6660" max="6660" width="12" style="189" customWidth="1"/>
    <col min="6661" max="6661" width="15.7109375" style="189" customWidth="1"/>
    <col min="6662" max="6662" width="3.5703125" style="189" customWidth="1"/>
    <col min="6663" max="6663" width="0" style="189" hidden="1" customWidth="1"/>
    <col min="6664" max="6912" width="9.140625" style="189"/>
    <col min="6913" max="6913" width="8.7109375" style="189" customWidth="1"/>
    <col min="6914" max="6914" width="35.5703125" style="189" customWidth="1"/>
    <col min="6915" max="6915" width="14.42578125" style="189" customWidth="1"/>
    <col min="6916" max="6916" width="12" style="189" customWidth="1"/>
    <col min="6917" max="6917" width="15.7109375" style="189" customWidth="1"/>
    <col min="6918" max="6918" width="3.5703125" style="189" customWidth="1"/>
    <col min="6919" max="6919" width="0" style="189" hidden="1" customWidth="1"/>
    <col min="6920" max="7168" width="9.140625" style="189"/>
    <col min="7169" max="7169" width="8.7109375" style="189" customWidth="1"/>
    <col min="7170" max="7170" width="35.5703125" style="189" customWidth="1"/>
    <col min="7171" max="7171" width="14.42578125" style="189" customWidth="1"/>
    <col min="7172" max="7172" width="12" style="189" customWidth="1"/>
    <col min="7173" max="7173" width="15.7109375" style="189" customWidth="1"/>
    <col min="7174" max="7174" width="3.5703125" style="189" customWidth="1"/>
    <col min="7175" max="7175" width="0" style="189" hidden="1" customWidth="1"/>
    <col min="7176" max="7424" width="9.140625" style="189"/>
    <col min="7425" max="7425" width="8.7109375" style="189" customWidth="1"/>
    <col min="7426" max="7426" width="35.5703125" style="189" customWidth="1"/>
    <col min="7427" max="7427" width="14.42578125" style="189" customWidth="1"/>
    <col min="7428" max="7428" width="12" style="189" customWidth="1"/>
    <col min="7429" max="7429" width="15.7109375" style="189" customWidth="1"/>
    <col min="7430" max="7430" width="3.5703125" style="189" customWidth="1"/>
    <col min="7431" max="7431" width="0" style="189" hidden="1" customWidth="1"/>
    <col min="7432" max="7680" width="9.140625" style="189"/>
    <col min="7681" max="7681" width="8.7109375" style="189" customWidth="1"/>
    <col min="7682" max="7682" width="35.5703125" style="189" customWidth="1"/>
    <col min="7683" max="7683" width="14.42578125" style="189" customWidth="1"/>
    <col min="7684" max="7684" width="12" style="189" customWidth="1"/>
    <col min="7685" max="7685" width="15.7109375" style="189" customWidth="1"/>
    <col min="7686" max="7686" width="3.5703125" style="189" customWidth="1"/>
    <col min="7687" max="7687" width="0" style="189" hidden="1" customWidth="1"/>
    <col min="7688" max="7936" width="9.140625" style="189"/>
    <col min="7937" max="7937" width="8.7109375" style="189" customWidth="1"/>
    <col min="7938" max="7938" width="35.5703125" style="189" customWidth="1"/>
    <col min="7939" max="7939" width="14.42578125" style="189" customWidth="1"/>
    <col min="7940" max="7940" width="12" style="189" customWidth="1"/>
    <col min="7941" max="7941" width="15.7109375" style="189" customWidth="1"/>
    <col min="7942" max="7942" width="3.5703125" style="189" customWidth="1"/>
    <col min="7943" max="7943" width="0" style="189" hidden="1" customWidth="1"/>
    <col min="7944" max="8192" width="9.140625" style="189"/>
    <col min="8193" max="8193" width="8.7109375" style="189" customWidth="1"/>
    <col min="8194" max="8194" width="35.5703125" style="189" customWidth="1"/>
    <col min="8195" max="8195" width="14.42578125" style="189" customWidth="1"/>
    <col min="8196" max="8196" width="12" style="189" customWidth="1"/>
    <col min="8197" max="8197" width="15.7109375" style="189" customWidth="1"/>
    <col min="8198" max="8198" width="3.5703125" style="189" customWidth="1"/>
    <col min="8199" max="8199" width="0" style="189" hidden="1" customWidth="1"/>
    <col min="8200" max="8448" width="9.140625" style="189"/>
    <col min="8449" max="8449" width="8.7109375" style="189" customWidth="1"/>
    <col min="8450" max="8450" width="35.5703125" style="189" customWidth="1"/>
    <col min="8451" max="8451" width="14.42578125" style="189" customWidth="1"/>
    <col min="8452" max="8452" width="12" style="189" customWidth="1"/>
    <col min="8453" max="8453" width="15.7109375" style="189" customWidth="1"/>
    <col min="8454" max="8454" width="3.5703125" style="189" customWidth="1"/>
    <col min="8455" max="8455" width="0" style="189" hidden="1" customWidth="1"/>
    <col min="8456" max="8704" width="9.140625" style="189"/>
    <col min="8705" max="8705" width="8.7109375" style="189" customWidth="1"/>
    <col min="8706" max="8706" width="35.5703125" style="189" customWidth="1"/>
    <col min="8707" max="8707" width="14.42578125" style="189" customWidth="1"/>
    <col min="8708" max="8708" width="12" style="189" customWidth="1"/>
    <col min="8709" max="8709" width="15.7109375" style="189" customWidth="1"/>
    <col min="8710" max="8710" width="3.5703125" style="189" customWidth="1"/>
    <col min="8711" max="8711" width="0" style="189" hidden="1" customWidth="1"/>
    <col min="8712" max="8960" width="9.140625" style="189"/>
    <col min="8961" max="8961" width="8.7109375" style="189" customWidth="1"/>
    <col min="8962" max="8962" width="35.5703125" style="189" customWidth="1"/>
    <col min="8963" max="8963" width="14.42578125" style="189" customWidth="1"/>
    <col min="8964" max="8964" width="12" style="189" customWidth="1"/>
    <col min="8965" max="8965" width="15.7109375" style="189" customWidth="1"/>
    <col min="8966" max="8966" width="3.5703125" style="189" customWidth="1"/>
    <col min="8967" max="8967" width="0" style="189" hidden="1" customWidth="1"/>
    <col min="8968" max="9216" width="9.140625" style="189"/>
    <col min="9217" max="9217" width="8.7109375" style="189" customWidth="1"/>
    <col min="9218" max="9218" width="35.5703125" style="189" customWidth="1"/>
    <col min="9219" max="9219" width="14.42578125" style="189" customWidth="1"/>
    <col min="9220" max="9220" width="12" style="189" customWidth="1"/>
    <col min="9221" max="9221" width="15.7109375" style="189" customWidth="1"/>
    <col min="9222" max="9222" width="3.5703125" style="189" customWidth="1"/>
    <col min="9223" max="9223" width="0" style="189" hidden="1" customWidth="1"/>
    <col min="9224" max="9472" width="9.140625" style="189"/>
    <col min="9473" max="9473" width="8.7109375" style="189" customWidth="1"/>
    <col min="9474" max="9474" width="35.5703125" style="189" customWidth="1"/>
    <col min="9475" max="9475" width="14.42578125" style="189" customWidth="1"/>
    <col min="9476" max="9476" width="12" style="189" customWidth="1"/>
    <col min="9477" max="9477" width="15.7109375" style="189" customWidth="1"/>
    <col min="9478" max="9478" width="3.5703125" style="189" customWidth="1"/>
    <col min="9479" max="9479" width="0" style="189" hidden="1" customWidth="1"/>
    <col min="9480" max="9728" width="9.140625" style="189"/>
    <col min="9729" max="9729" width="8.7109375" style="189" customWidth="1"/>
    <col min="9730" max="9730" width="35.5703125" style="189" customWidth="1"/>
    <col min="9731" max="9731" width="14.42578125" style="189" customWidth="1"/>
    <col min="9732" max="9732" width="12" style="189" customWidth="1"/>
    <col min="9733" max="9733" width="15.7109375" style="189" customWidth="1"/>
    <col min="9734" max="9734" width="3.5703125" style="189" customWidth="1"/>
    <col min="9735" max="9735" width="0" style="189" hidden="1" customWidth="1"/>
    <col min="9736" max="9984" width="9.140625" style="189"/>
    <col min="9985" max="9985" width="8.7109375" style="189" customWidth="1"/>
    <col min="9986" max="9986" width="35.5703125" style="189" customWidth="1"/>
    <col min="9987" max="9987" width="14.42578125" style="189" customWidth="1"/>
    <col min="9988" max="9988" width="12" style="189" customWidth="1"/>
    <col min="9989" max="9989" width="15.7109375" style="189" customWidth="1"/>
    <col min="9990" max="9990" width="3.5703125" style="189" customWidth="1"/>
    <col min="9991" max="9991" width="0" style="189" hidden="1" customWidth="1"/>
    <col min="9992" max="10240" width="9.140625" style="189"/>
    <col min="10241" max="10241" width="8.7109375" style="189" customWidth="1"/>
    <col min="10242" max="10242" width="35.5703125" style="189" customWidth="1"/>
    <col min="10243" max="10243" width="14.42578125" style="189" customWidth="1"/>
    <col min="10244" max="10244" width="12" style="189" customWidth="1"/>
    <col min="10245" max="10245" width="15.7109375" style="189" customWidth="1"/>
    <col min="10246" max="10246" width="3.5703125" style="189" customWidth="1"/>
    <col min="10247" max="10247" width="0" style="189" hidden="1" customWidth="1"/>
    <col min="10248" max="10496" width="9.140625" style="189"/>
    <col min="10497" max="10497" width="8.7109375" style="189" customWidth="1"/>
    <col min="10498" max="10498" width="35.5703125" style="189" customWidth="1"/>
    <col min="10499" max="10499" width="14.42578125" style="189" customWidth="1"/>
    <col min="10500" max="10500" width="12" style="189" customWidth="1"/>
    <col min="10501" max="10501" width="15.7109375" style="189" customWidth="1"/>
    <col min="10502" max="10502" width="3.5703125" style="189" customWidth="1"/>
    <col min="10503" max="10503" width="0" style="189" hidden="1" customWidth="1"/>
    <col min="10504" max="10752" width="9.140625" style="189"/>
    <col min="10753" max="10753" width="8.7109375" style="189" customWidth="1"/>
    <col min="10754" max="10754" width="35.5703125" style="189" customWidth="1"/>
    <col min="10755" max="10755" width="14.42578125" style="189" customWidth="1"/>
    <col min="10756" max="10756" width="12" style="189" customWidth="1"/>
    <col min="10757" max="10757" width="15.7109375" style="189" customWidth="1"/>
    <col min="10758" max="10758" width="3.5703125" style="189" customWidth="1"/>
    <col min="10759" max="10759" width="0" style="189" hidden="1" customWidth="1"/>
    <col min="10760" max="11008" width="9.140625" style="189"/>
    <col min="11009" max="11009" width="8.7109375" style="189" customWidth="1"/>
    <col min="11010" max="11010" width="35.5703125" style="189" customWidth="1"/>
    <col min="11011" max="11011" width="14.42578125" style="189" customWidth="1"/>
    <col min="11012" max="11012" width="12" style="189" customWidth="1"/>
    <col min="11013" max="11013" width="15.7109375" style="189" customWidth="1"/>
    <col min="11014" max="11014" width="3.5703125" style="189" customWidth="1"/>
    <col min="11015" max="11015" width="0" style="189" hidden="1" customWidth="1"/>
    <col min="11016" max="11264" width="9.140625" style="189"/>
    <col min="11265" max="11265" width="8.7109375" style="189" customWidth="1"/>
    <col min="11266" max="11266" width="35.5703125" style="189" customWidth="1"/>
    <col min="11267" max="11267" width="14.42578125" style="189" customWidth="1"/>
    <col min="11268" max="11268" width="12" style="189" customWidth="1"/>
    <col min="11269" max="11269" width="15.7109375" style="189" customWidth="1"/>
    <col min="11270" max="11270" width="3.5703125" style="189" customWidth="1"/>
    <col min="11271" max="11271" width="0" style="189" hidden="1" customWidth="1"/>
    <col min="11272" max="11520" width="9.140625" style="189"/>
    <col min="11521" max="11521" width="8.7109375" style="189" customWidth="1"/>
    <col min="11522" max="11522" width="35.5703125" style="189" customWidth="1"/>
    <col min="11523" max="11523" width="14.42578125" style="189" customWidth="1"/>
    <col min="11524" max="11524" width="12" style="189" customWidth="1"/>
    <col min="11525" max="11525" width="15.7109375" style="189" customWidth="1"/>
    <col min="11526" max="11526" width="3.5703125" style="189" customWidth="1"/>
    <col min="11527" max="11527" width="0" style="189" hidden="1" customWidth="1"/>
    <col min="11528" max="11776" width="9.140625" style="189"/>
    <col min="11777" max="11777" width="8.7109375" style="189" customWidth="1"/>
    <col min="11778" max="11778" width="35.5703125" style="189" customWidth="1"/>
    <col min="11779" max="11779" width="14.42578125" style="189" customWidth="1"/>
    <col min="11780" max="11780" width="12" style="189" customWidth="1"/>
    <col min="11781" max="11781" width="15.7109375" style="189" customWidth="1"/>
    <col min="11782" max="11782" width="3.5703125" style="189" customWidth="1"/>
    <col min="11783" max="11783" width="0" style="189" hidden="1" customWidth="1"/>
    <col min="11784" max="12032" width="9.140625" style="189"/>
    <col min="12033" max="12033" width="8.7109375" style="189" customWidth="1"/>
    <col min="12034" max="12034" width="35.5703125" style="189" customWidth="1"/>
    <col min="12035" max="12035" width="14.42578125" style="189" customWidth="1"/>
    <col min="12036" max="12036" width="12" style="189" customWidth="1"/>
    <col min="12037" max="12037" width="15.7109375" style="189" customWidth="1"/>
    <col min="12038" max="12038" width="3.5703125" style="189" customWidth="1"/>
    <col min="12039" max="12039" width="0" style="189" hidden="1" customWidth="1"/>
    <col min="12040" max="12288" width="9.140625" style="189"/>
    <col min="12289" max="12289" width="8.7109375" style="189" customWidth="1"/>
    <col min="12290" max="12290" width="35.5703125" style="189" customWidth="1"/>
    <col min="12291" max="12291" width="14.42578125" style="189" customWidth="1"/>
    <col min="12292" max="12292" width="12" style="189" customWidth="1"/>
    <col min="12293" max="12293" width="15.7109375" style="189" customWidth="1"/>
    <col min="12294" max="12294" width="3.5703125" style="189" customWidth="1"/>
    <col min="12295" max="12295" width="0" style="189" hidden="1" customWidth="1"/>
    <col min="12296" max="12544" width="9.140625" style="189"/>
    <col min="12545" max="12545" width="8.7109375" style="189" customWidth="1"/>
    <col min="12546" max="12546" width="35.5703125" style="189" customWidth="1"/>
    <col min="12547" max="12547" width="14.42578125" style="189" customWidth="1"/>
    <col min="12548" max="12548" width="12" style="189" customWidth="1"/>
    <col min="12549" max="12549" width="15.7109375" style="189" customWidth="1"/>
    <col min="12550" max="12550" width="3.5703125" style="189" customWidth="1"/>
    <col min="12551" max="12551" width="0" style="189" hidden="1" customWidth="1"/>
    <col min="12552" max="12800" width="9.140625" style="189"/>
    <col min="12801" max="12801" width="8.7109375" style="189" customWidth="1"/>
    <col min="12802" max="12802" width="35.5703125" style="189" customWidth="1"/>
    <col min="12803" max="12803" width="14.42578125" style="189" customWidth="1"/>
    <col min="12804" max="12804" width="12" style="189" customWidth="1"/>
    <col min="12805" max="12805" width="15.7109375" style="189" customWidth="1"/>
    <col min="12806" max="12806" width="3.5703125" style="189" customWidth="1"/>
    <col min="12807" max="12807" width="0" style="189" hidden="1" customWidth="1"/>
    <col min="12808" max="13056" width="9.140625" style="189"/>
    <col min="13057" max="13057" width="8.7109375" style="189" customWidth="1"/>
    <col min="13058" max="13058" width="35.5703125" style="189" customWidth="1"/>
    <col min="13059" max="13059" width="14.42578125" style="189" customWidth="1"/>
    <col min="13060" max="13060" width="12" style="189" customWidth="1"/>
    <col min="13061" max="13061" width="15.7109375" style="189" customWidth="1"/>
    <col min="13062" max="13062" width="3.5703125" style="189" customWidth="1"/>
    <col min="13063" max="13063" width="0" style="189" hidden="1" customWidth="1"/>
    <col min="13064" max="13312" width="9.140625" style="189"/>
    <col min="13313" max="13313" width="8.7109375" style="189" customWidth="1"/>
    <col min="13314" max="13314" width="35.5703125" style="189" customWidth="1"/>
    <col min="13315" max="13315" width="14.42578125" style="189" customWidth="1"/>
    <col min="13316" max="13316" width="12" style="189" customWidth="1"/>
    <col min="13317" max="13317" width="15.7109375" style="189" customWidth="1"/>
    <col min="13318" max="13318" width="3.5703125" style="189" customWidth="1"/>
    <col min="13319" max="13319" width="0" style="189" hidden="1" customWidth="1"/>
    <col min="13320" max="13568" width="9.140625" style="189"/>
    <col min="13569" max="13569" width="8.7109375" style="189" customWidth="1"/>
    <col min="13570" max="13570" width="35.5703125" style="189" customWidth="1"/>
    <col min="13571" max="13571" width="14.42578125" style="189" customWidth="1"/>
    <col min="13572" max="13572" width="12" style="189" customWidth="1"/>
    <col min="13573" max="13573" width="15.7109375" style="189" customWidth="1"/>
    <col min="13574" max="13574" width="3.5703125" style="189" customWidth="1"/>
    <col min="13575" max="13575" width="0" style="189" hidden="1" customWidth="1"/>
    <col min="13576" max="13824" width="9.140625" style="189"/>
    <col min="13825" max="13825" width="8.7109375" style="189" customWidth="1"/>
    <col min="13826" max="13826" width="35.5703125" style="189" customWidth="1"/>
    <col min="13827" max="13827" width="14.42578125" style="189" customWidth="1"/>
    <col min="13828" max="13828" width="12" style="189" customWidth="1"/>
    <col min="13829" max="13829" width="15.7109375" style="189" customWidth="1"/>
    <col min="13830" max="13830" width="3.5703125" style="189" customWidth="1"/>
    <col min="13831" max="13831" width="0" style="189" hidden="1" customWidth="1"/>
    <col min="13832" max="14080" width="9.140625" style="189"/>
    <col min="14081" max="14081" width="8.7109375" style="189" customWidth="1"/>
    <col min="14082" max="14082" width="35.5703125" style="189" customWidth="1"/>
    <col min="14083" max="14083" width="14.42578125" style="189" customWidth="1"/>
    <col min="14084" max="14084" width="12" style="189" customWidth="1"/>
    <col min="14085" max="14085" width="15.7109375" style="189" customWidth="1"/>
    <col min="14086" max="14086" width="3.5703125" style="189" customWidth="1"/>
    <col min="14087" max="14087" width="0" style="189" hidden="1" customWidth="1"/>
    <col min="14088" max="14336" width="9.140625" style="189"/>
    <col min="14337" max="14337" width="8.7109375" style="189" customWidth="1"/>
    <col min="14338" max="14338" width="35.5703125" style="189" customWidth="1"/>
    <col min="14339" max="14339" width="14.42578125" style="189" customWidth="1"/>
    <col min="14340" max="14340" width="12" style="189" customWidth="1"/>
    <col min="14341" max="14341" width="15.7109375" style="189" customWidth="1"/>
    <col min="14342" max="14342" width="3.5703125" style="189" customWidth="1"/>
    <col min="14343" max="14343" width="0" style="189" hidden="1" customWidth="1"/>
    <col min="14344" max="14592" width="9.140625" style="189"/>
    <col min="14593" max="14593" width="8.7109375" style="189" customWidth="1"/>
    <col min="14594" max="14594" width="35.5703125" style="189" customWidth="1"/>
    <col min="14595" max="14595" width="14.42578125" style="189" customWidth="1"/>
    <col min="14596" max="14596" width="12" style="189" customWidth="1"/>
    <col min="14597" max="14597" width="15.7109375" style="189" customWidth="1"/>
    <col min="14598" max="14598" width="3.5703125" style="189" customWidth="1"/>
    <col min="14599" max="14599" width="0" style="189" hidden="1" customWidth="1"/>
    <col min="14600" max="14848" width="9.140625" style="189"/>
    <col min="14849" max="14849" width="8.7109375" style="189" customWidth="1"/>
    <col min="14850" max="14850" width="35.5703125" style="189" customWidth="1"/>
    <col min="14851" max="14851" width="14.42578125" style="189" customWidth="1"/>
    <col min="14852" max="14852" width="12" style="189" customWidth="1"/>
    <col min="14853" max="14853" width="15.7109375" style="189" customWidth="1"/>
    <col min="14854" max="14854" width="3.5703125" style="189" customWidth="1"/>
    <col min="14855" max="14855" width="0" style="189" hidden="1" customWidth="1"/>
    <col min="14856" max="15104" width="9.140625" style="189"/>
    <col min="15105" max="15105" width="8.7109375" style="189" customWidth="1"/>
    <col min="15106" max="15106" width="35.5703125" style="189" customWidth="1"/>
    <col min="15107" max="15107" width="14.42578125" style="189" customWidth="1"/>
    <col min="15108" max="15108" width="12" style="189" customWidth="1"/>
    <col min="15109" max="15109" width="15.7109375" style="189" customWidth="1"/>
    <col min="15110" max="15110" width="3.5703125" style="189" customWidth="1"/>
    <col min="15111" max="15111" width="0" style="189" hidden="1" customWidth="1"/>
    <col min="15112" max="15360" width="9.140625" style="189"/>
    <col min="15361" max="15361" width="8.7109375" style="189" customWidth="1"/>
    <col min="15362" max="15362" width="35.5703125" style="189" customWidth="1"/>
    <col min="15363" max="15363" width="14.42578125" style="189" customWidth="1"/>
    <col min="15364" max="15364" width="12" style="189" customWidth="1"/>
    <col min="15365" max="15365" width="15.7109375" style="189" customWidth="1"/>
    <col min="15366" max="15366" width="3.5703125" style="189" customWidth="1"/>
    <col min="15367" max="15367" width="0" style="189" hidden="1" customWidth="1"/>
    <col min="15368" max="15616" width="9.140625" style="189"/>
    <col min="15617" max="15617" width="8.7109375" style="189" customWidth="1"/>
    <col min="15618" max="15618" width="35.5703125" style="189" customWidth="1"/>
    <col min="15619" max="15619" width="14.42578125" style="189" customWidth="1"/>
    <col min="15620" max="15620" width="12" style="189" customWidth="1"/>
    <col min="15621" max="15621" width="15.7109375" style="189" customWidth="1"/>
    <col min="15622" max="15622" width="3.5703125" style="189" customWidth="1"/>
    <col min="15623" max="15623" width="0" style="189" hidden="1" customWidth="1"/>
    <col min="15624" max="15872" width="9.140625" style="189"/>
    <col min="15873" max="15873" width="8.7109375" style="189" customWidth="1"/>
    <col min="15874" max="15874" width="35.5703125" style="189" customWidth="1"/>
    <col min="15875" max="15875" width="14.42578125" style="189" customWidth="1"/>
    <col min="15876" max="15876" width="12" style="189" customWidth="1"/>
    <col min="15877" max="15877" width="15.7109375" style="189" customWidth="1"/>
    <col min="15878" max="15878" width="3.5703125" style="189" customWidth="1"/>
    <col min="15879" max="15879" width="0" style="189" hidden="1" customWidth="1"/>
    <col min="15880" max="16128" width="9.140625" style="189"/>
    <col min="16129" max="16129" width="8.7109375" style="189" customWidth="1"/>
    <col min="16130" max="16130" width="35.5703125" style="189" customWidth="1"/>
    <col min="16131" max="16131" width="14.42578125" style="189" customWidth="1"/>
    <col min="16132" max="16132" width="12" style="189" customWidth="1"/>
    <col min="16133" max="16133" width="15.7109375" style="189" customWidth="1"/>
    <col min="16134" max="16134" width="3.5703125" style="189" customWidth="1"/>
    <col min="16135" max="16135" width="0" style="189" hidden="1" customWidth="1"/>
    <col min="16136" max="16384" width="9.140625" style="189"/>
  </cols>
  <sheetData>
    <row r="1" spans="1:7" hidden="1"/>
    <row r="2" spans="1:7" ht="56.25" customHeight="1">
      <c r="A2" s="308"/>
      <c r="B2" s="308"/>
      <c r="C2" s="375" t="s">
        <v>475</v>
      </c>
      <c r="D2" s="376"/>
      <c r="E2" s="376"/>
    </row>
    <row r="3" spans="1:7" ht="18.75">
      <c r="A3" s="309"/>
      <c r="B3" s="309"/>
      <c r="C3" s="310"/>
      <c r="D3" s="310"/>
    </row>
    <row r="4" spans="1:7" ht="78" customHeight="1">
      <c r="A4" s="377" t="s">
        <v>476</v>
      </c>
      <c r="B4" s="377"/>
      <c r="C4" s="377"/>
      <c r="D4" s="377"/>
      <c r="E4" s="377"/>
      <c r="G4" s="300" t="s">
        <v>477</v>
      </c>
    </row>
    <row r="5" spans="1:7" ht="17.25" customHeight="1">
      <c r="A5" s="311"/>
      <c r="B5" s="311"/>
      <c r="C5" s="311"/>
      <c r="D5" s="311"/>
    </row>
    <row r="6" spans="1:7" ht="16.5" customHeight="1">
      <c r="E6" s="194" t="s">
        <v>219</v>
      </c>
    </row>
    <row r="7" spans="1:7" ht="17.25" customHeight="1">
      <c r="A7" s="378" t="s">
        <v>160</v>
      </c>
      <c r="B7" s="378" t="s">
        <v>1</v>
      </c>
      <c r="C7" s="378" t="s">
        <v>447</v>
      </c>
      <c r="D7" s="378"/>
      <c r="E7" s="378"/>
    </row>
    <row r="8" spans="1:7" ht="67.5" customHeight="1">
      <c r="A8" s="378"/>
      <c r="B8" s="378"/>
      <c r="C8" s="195" t="s">
        <v>220</v>
      </c>
      <c r="D8" s="195" t="s">
        <v>221</v>
      </c>
      <c r="E8" s="297" t="s">
        <v>222</v>
      </c>
    </row>
    <row r="9" spans="1:7">
      <c r="A9" s="297">
        <v>1</v>
      </c>
      <c r="B9" s="297">
        <v>2</v>
      </c>
      <c r="C9" s="197">
        <v>3</v>
      </c>
      <c r="D9" s="197">
        <v>4</v>
      </c>
      <c r="E9" s="197">
        <v>5</v>
      </c>
    </row>
    <row r="10" spans="1:7" ht="21" customHeight="1">
      <c r="A10" s="171">
        <v>1</v>
      </c>
      <c r="B10" s="78" t="s">
        <v>5</v>
      </c>
      <c r="C10" s="312">
        <v>23693.67</v>
      </c>
      <c r="D10" s="312">
        <f>C10</f>
        <v>23693.67</v>
      </c>
      <c r="E10" s="312">
        <f t="shared" ref="E10:E17" si="0">C10-D10</f>
        <v>0</v>
      </c>
    </row>
    <row r="11" spans="1:7" ht="27.75" customHeight="1">
      <c r="A11" s="198">
        <v>2</v>
      </c>
      <c r="B11" s="199" t="s">
        <v>52</v>
      </c>
      <c r="C11" s="313">
        <v>6474.88</v>
      </c>
      <c r="D11" s="312">
        <f t="shared" ref="D11:D17" si="1">C11</f>
        <v>6474.88</v>
      </c>
      <c r="E11" s="312">
        <f t="shared" si="0"/>
        <v>0</v>
      </c>
      <c r="G11" s="314"/>
    </row>
    <row r="12" spans="1:7" ht="27" customHeight="1">
      <c r="A12" s="198">
        <v>3</v>
      </c>
      <c r="B12" s="199" t="s">
        <v>396</v>
      </c>
      <c r="C12" s="315">
        <v>3516.31</v>
      </c>
      <c r="D12" s="312">
        <f t="shared" si="1"/>
        <v>3516.31</v>
      </c>
      <c r="E12" s="312">
        <f t="shared" si="0"/>
        <v>0</v>
      </c>
    </row>
    <row r="13" spans="1:7" ht="36.75" customHeight="1">
      <c r="A13" s="198">
        <v>4</v>
      </c>
      <c r="B13" s="78" t="s">
        <v>103</v>
      </c>
      <c r="C13" s="315">
        <v>0</v>
      </c>
      <c r="D13" s="312">
        <f t="shared" si="1"/>
        <v>0</v>
      </c>
      <c r="E13" s="312">
        <f t="shared" si="0"/>
        <v>0</v>
      </c>
    </row>
    <row r="14" spans="1:7" ht="39" customHeight="1">
      <c r="A14" s="198">
        <v>5</v>
      </c>
      <c r="B14" s="78" t="s">
        <v>397</v>
      </c>
      <c r="C14" s="315">
        <v>789.55</v>
      </c>
      <c r="D14" s="312">
        <v>789.55</v>
      </c>
      <c r="E14" s="312">
        <f t="shared" si="0"/>
        <v>0</v>
      </c>
    </row>
    <row r="15" spans="1:7" ht="47.25">
      <c r="A15" s="198">
        <v>6</v>
      </c>
      <c r="B15" s="78" t="s">
        <v>398</v>
      </c>
      <c r="C15" s="315">
        <v>0</v>
      </c>
      <c r="D15" s="312">
        <v>0</v>
      </c>
      <c r="E15" s="312">
        <f t="shared" si="0"/>
        <v>0</v>
      </c>
    </row>
    <row r="16" spans="1:7" ht="35.25" customHeight="1">
      <c r="A16" s="198">
        <v>7</v>
      </c>
      <c r="B16" s="78" t="s">
        <v>399</v>
      </c>
      <c r="C16" s="315">
        <v>1671.51</v>
      </c>
      <c r="D16" s="312">
        <f t="shared" si="1"/>
        <v>1671.51</v>
      </c>
      <c r="E16" s="312">
        <f t="shared" si="0"/>
        <v>0</v>
      </c>
    </row>
    <row r="17" spans="1:5" ht="30.75" customHeight="1">
      <c r="A17" s="200">
        <v>8</v>
      </c>
      <c r="B17" s="78" t="s">
        <v>400</v>
      </c>
      <c r="C17" s="315">
        <f>C10+C11+C12+C13+C14+C15+C16</f>
        <v>36145.920000000006</v>
      </c>
      <c r="D17" s="312">
        <f t="shared" si="1"/>
        <v>36145.920000000006</v>
      </c>
      <c r="E17" s="312">
        <f t="shared" si="0"/>
        <v>0</v>
      </c>
    </row>
  </sheetData>
  <mergeCells count="5">
    <mergeCell ref="C2:E2"/>
    <mergeCell ref="A4:E4"/>
    <mergeCell ref="A7:A8"/>
    <mergeCell ref="B7:B8"/>
    <mergeCell ref="C7:E7"/>
  </mergeCells>
  <pageMargins left="1.1023622047244095" right="0.47244094488188981" top="0.74803149606299213" bottom="0.59055118110236227" header="0.31496062992125984" footer="0.31496062992125984"/>
  <pageSetup paperSize="9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opLeftCell="A2" workbookViewId="0">
      <selection activeCell="G12" sqref="G12:G13"/>
    </sheetView>
  </sheetViews>
  <sheetFormatPr defaultRowHeight="15.75"/>
  <cols>
    <col min="1" max="1" width="10.42578125" style="189" customWidth="1"/>
    <col min="2" max="2" width="37" style="189" customWidth="1"/>
    <col min="3" max="3" width="14.42578125" style="190" customWidth="1"/>
    <col min="4" max="4" width="12" style="190" customWidth="1"/>
    <col min="5" max="5" width="13.140625" style="189" customWidth="1"/>
    <col min="6" max="6" width="9.140625" style="189"/>
    <col min="7" max="7" width="22" style="189" customWidth="1"/>
    <col min="8" max="16384" width="9.140625" style="189"/>
  </cols>
  <sheetData>
    <row r="1" spans="1:7" hidden="1"/>
    <row r="2" spans="1:7" ht="38.25" customHeight="1">
      <c r="B2" s="191"/>
      <c r="C2" s="379" t="s">
        <v>452</v>
      </c>
      <c r="D2" s="379"/>
      <c r="E2" s="379"/>
    </row>
    <row r="3" spans="1:7" ht="18.75">
      <c r="A3" s="192"/>
      <c r="B3" s="192"/>
      <c r="C3" s="193"/>
      <c r="D3" s="193"/>
    </row>
    <row r="4" spans="1:7" ht="24.75" customHeight="1">
      <c r="A4" s="380" t="s">
        <v>395</v>
      </c>
      <c r="B4" s="380"/>
      <c r="C4" s="380"/>
      <c r="D4" s="380"/>
      <c r="E4" s="380"/>
      <c r="G4" s="176"/>
    </row>
    <row r="5" spans="1:7" ht="58.5" customHeight="1">
      <c r="A5" s="362" t="s">
        <v>453</v>
      </c>
      <c r="B5" s="362"/>
      <c r="C5" s="362"/>
      <c r="D5" s="362"/>
      <c r="E5" s="362"/>
    </row>
    <row r="6" spans="1:7" ht="16.5" customHeight="1">
      <c r="E6" s="194" t="s">
        <v>219</v>
      </c>
    </row>
    <row r="7" spans="1:7" ht="17.25" customHeight="1">
      <c r="A7" s="378" t="s">
        <v>160</v>
      </c>
      <c r="B7" s="378" t="s">
        <v>1</v>
      </c>
      <c r="C7" s="378" t="s">
        <v>447</v>
      </c>
      <c r="D7" s="378"/>
      <c r="E7" s="378"/>
    </row>
    <row r="8" spans="1:7" ht="67.5" customHeight="1">
      <c r="A8" s="378"/>
      <c r="B8" s="378"/>
      <c r="C8" s="195" t="s">
        <v>220</v>
      </c>
      <c r="D8" s="195" t="s">
        <v>221</v>
      </c>
      <c r="E8" s="196" t="s">
        <v>222</v>
      </c>
    </row>
    <row r="9" spans="1:7">
      <c r="A9" s="196">
        <v>1</v>
      </c>
      <c r="B9" s="196">
        <v>2</v>
      </c>
      <c r="C9" s="197">
        <v>3</v>
      </c>
      <c r="D9" s="197">
        <v>4</v>
      </c>
      <c r="E9" s="197">
        <v>5</v>
      </c>
    </row>
    <row r="10" spans="1:7">
      <c r="A10" s="171">
        <v>1</v>
      </c>
      <c r="B10" s="78" t="s">
        <v>5</v>
      </c>
      <c r="C10" s="445">
        <v>16882.22</v>
      </c>
      <c r="D10" s="445">
        <v>16882.22</v>
      </c>
      <c r="E10" s="445">
        <f t="shared" ref="E10:E16" si="0">C10-D10</f>
        <v>0</v>
      </c>
    </row>
    <row r="11" spans="1:7">
      <c r="A11" s="198">
        <v>2</v>
      </c>
      <c r="B11" s="199" t="s">
        <v>52</v>
      </c>
      <c r="C11" s="445">
        <v>12498.96</v>
      </c>
      <c r="D11" s="445">
        <v>12498.96</v>
      </c>
      <c r="E11" s="445">
        <f t="shared" si="0"/>
        <v>0</v>
      </c>
    </row>
    <row r="12" spans="1:7">
      <c r="A12" s="198">
        <v>3</v>
      </c>
      <c r="B12" s="199" t="s">
        <v>396</v>
      </c>
      <c r="C12" s="445">
        <v>2516.58</v>
      </c>
      <c r="D12" s="445">
        <v>2516.58</v>
      </c>
      <c r="E12" s="445">
        <f t="shared" si="0"/>
        <v>0</v>
      </c>
    </row>
    <row r="13" spans="1:7" ht="31.5">
      <c r="A13" s="198">
        <v>4</v>
      </c>
      <c r="B13" s="78" t="s">
        <v>103</v>
      </c>
      <c r="C13" s="445">
        <v>0</v>
      </c>
      <c r="D13" s="445">
        <v>0</v>
      </c>
      <c r="E13" s="445">
        <f t="shared" si="0"/>
        <v>0</v>
      </c>
    </row>
    <row r="14" spans="1:7" ht="31.5">
      <c r="A14" s="198">
        <v>5</v>
      </c>
      <c r="B14" s="78" t="s">
        <v>397</v>
      </c>
      <c r="C14" s="445">
        <v>1035.8800000000001</v>
      </c>
      <c r="D14" s="445">
        <v>1035.8800000000001</v>
      </c>
      <c r="E14" s="445">
        <f t="shared" si="0"/>
        <v>0</v>
      </c>
    </row>
    <row r="15" spans="1:7" ht="47.25">
      <c r="A15" s="198">
        <v>6</v>
      </c>
      <c r="B15" s="78" t="s">
        <v>398</v>
      </c>
      <c r="C15" s="445">
        <v>0</v>
      </c>
      <c r="D15" s="445">
        <v>0</v>
      </c>
      <c r="E15" s="445">
        <f t="shared" si="0"/>
        <v>0</v>
      </c>
    </row>
    <row r="16" spans="1:7" ht="31.5">
      <c r="A16" s="198">
        <v>7</v>
      </c>
      <c r="B16" s="78" t="s">
        <v>399</v>
      </c>
      <c r="C16" s="445">
        <v>910.7</v>
      </c>
      <c r="D16" s="445">
        <v>910.7</v>
      </c>
      <c r="E16" s="445">
        <f t="shared" si="0"/>
        <v>0</v>
      </c>
    </row>
    <row r="17" spans="1:5">
      <c r="A17" s="200">
        <v>8</v>
      </c>
      <c r="B17" s="78" t="s">
        <v>400</v>
      </c>
      <c r="C17" s="315">
        <v>33844.339999999997</v>
      </c>
      <c r="D17" s="315">
        <v>33844.339999999997</v>
      </c>
      <c r="E17" s="315">
        <f>SUM(E10:E16)</f>
        <v>0</v>
      </c>
    </row>
    <row r="19" spans="1:5">
      <c r="C19" s="290"/>
    </row>
  </sheetData>
  <mergeCells count="6">
    <mergeCell ref="C2:E2"/>
    <mergeCell ref="A4:E4"/>
    <mergeCell ref="A5:E5"/>
    <mergeCell ref="A7:A8"/>
    <mergeCell ref="B7:B8"/>
    <mergeCell ref="C7:E7"/>
  </mergeCells>
  <phoneticPr fontId="3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</cols>
  <sheetData>
    <row r="1" spans="1:8" ht="18.75">
      <c r="A1" s="201"/>
      <c r="B1" s="201"/>
      <c r="C1" s="381" t="s">
        <v>401</v>
      </c>
      <c r="D1" s="381"/>
      <c r="E1" s="381"/>
    </row>
    <row r="2" spans="1:8" ht="18.75">
      <c r="B2" s="202"/>
      <c r="C2" s="202"/>
      <c r="D2" s="202"/>
      <c r="E2" s="202"/>
    </row>
    <row r="3" spans="1:8" ht="18.75">
      <c r="A3" s="382" t="s">
        <v>402</v>
      </c>
      <c r="B3" s="382"/>
      <c r="C3" s="382"/>
      <c r="D3" s="382"/>
      <c r="E3" s="382"/>
    </row>
    <row r="4" spans="1:8" ht="18.75" customHeight="1">
      <c r="A4" s="362" t="s">
        <v>358</v>
      </c>
      <c r="B4" s="362"/>
      <c r="C4" s="362"/>
      <c r="D4" s="362"/>
      <c r="E4" s="362"/>
      <c r="F4" s="176" t="s">
        <v>403</v>
      </c>
      <c r="G4" s="177"/>
      <c r="H4" s="177"/>
    </row>
    <row r="5" spans="1:8" ht="18.75">
      <c r="A5" s="383"/>
      <c r="B5" s="383"/>
      <c r="C5" s="383"/>
      <c r="D5" s="383"/>
      <c r="E5" s="383"/>
      <c r="F5" s="177"/>
      <c r="G5" s="177"/>
      <c r="H5" s="177"/>
    </row>
    <row r="6" spans="1:8" ht="18.75">
      <c r="A6" s="203"/>
      <c r="B6" s="203"/>
      <c r="C6" s="203"/>
      <c r="D6" s="203"/>
      <c r="E6" s="203"/>
      <c r="F6" s="177"/>
      <c r="G6" s="177"/>
      <c r="H6" s="177"/>
    </row>
    <row r="7" spans="1:8" ht="15.75" customHeight="1">
      <c r="A7" s="363" t="s">
        <v>160</v>
      </c>
      <c r="B7" s="363" t="s">
        <v>234</v>
      </c>
      <c r="C7" s="366" t="s">
        <v>404</v>
      </c>
      <c r="D7" s="367"/>
      <c r="E7" s="363" t="s">
        <v>222</v>
      </c>
    </row>
    <row r="8" spans="1:8" ht="15.75">
      <c r="A8" s="365"/>
      <c r="B8" s="365"/>
      <c r="C8" s="179" t="s">
        <v>235</v>
      </c>
      <c r="D8" s="179" t="s">
        <v>221</v>
      </c>
      <c r="E8" s="365"/>
    </row>
    <row r="9" spans="1:8" s="76" customFormat="1" ht="15.75">
      <c r="A9" s="179">
        <v>1</v>
      </c>
      <c r="B9" s="179">
        <v>2</v>
      </c>
      <c r="C9" s="179">
        <v>3</v>
      </c>
      <c r="D9" s="179">
        <v>4</v>
      </c>
      <c r="E9" s="179">
        <v>5</v>
      </c>
    </row>
    <row r="10" spans="1:8" ht="94.5">
      <c r="A10" s="179" t="s">
        <v>214</v>
      </c>
      <c r="B10" s="5" t="s">
        <v>236</v>
      </c>
      <c r="C10" s="182"/>
      <c r="D10" s="182"/>
      <c r="E10" s="182">
        <f t="shared" ref="E10:E15" si="0">+C10-D10</f>
        <v>0</v>
      </c>
    </row>
    <row r="11" spans="1:8" ht="15.75">
      <c r="A11" s="179" t="s">
        <v>51</v>
      </c>
      <c r="B11" s="77" t="s">
        <v>131</v>
      </c>
      <c r="C11" s="6"/>
      <c r="D11" s="6"/>
      <c r="E11" s="182">
        <f t="shared" si="0"/>
        <v>0</v>
      </c>
    </row>
    <row r="12" spans="1:8" ht="15.75">
      <c r="A12" s="179" t="s">
        <v>73</v>
      </c>
      <c r="B12" s="77" t="s">
        <v>132</v>
      </c>
      <c r="C12" s="65"/>
      <c r="D12" s="65"/>
      <c r="E12" s="182">
        <f t="shared" si="0"/>
        <v>0</v>
      </c>
    </row>
    <row r="13" spans="1:8" ht="19.149999999999999" hidden="1" customHeight="1">
      <c r="A13" s="179">
        <v>4</v>
      </c>
      <c r="B13" s="204" t="s">
        <v>133</v>
      </c>
      <c r="C13" s="182"/>
      <c r="D13" s="182"/>
      <c r="E13" s="182">
        <f t="shared" si="0"/>
        <v>0</v>
      </c>
    </row>
    <row r="14" spans="1:8" ht="15.75">
      <c r="A14" s="179" t="s">
        <v>112</v>
      </c>
      <c r="B14" s="204" t="s">
        <v>237</v>
      </c>
      <c r="C14" s="182"/>
      <c r="D14" s="182"/>
      <c r="E14" s="182">
        <f t="shared" si="0"/>
        <v>0</v>
      </c>
    </row>
    <row r="15" spans="1:8" ht="41.25" hidden="1" customHeight="1">
      <c r="A15" s="179" t="s">
        <v>229</v>
      </c>
      <c r="B15" s="204" t="s">
        <v>405</v>
      </c>
      <c r="C15" s="182"/>
      <c r="D15" s="182"/>
      <c r="E15" s="182">
        <f t="shared" si="0"/>
        <v>0</v>
      </c>
    </row>
    <row r="16" spans="1:8" ht="30" hidden="1" customHeight="1">
      <c r="A16" s="179" t="s">
        <v>120</v>
      </c>
      <c r="B16" s="5" t="s">
        <v>129</v>
      </c>
      <c r="C16" s="182"/>
      <c r="D16" s="182"/>
      <c r="E16" s="182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honeticPr fontId="3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15" zoomScaleSheetLayoutView="115" workbookViewId="0">
      <selection activeCell="C15" sqref="C15"/>
    </sheetView>
  </sheetViews>
  <sheetFormatPr defaultRowHeight="12.75" outlineLevelCol="1"/>
  <cols>
    <col min="1" max="1" width="7.42578125" style="205" customWidth="1"/>
    <col min="2" max="2" width="38" style="205" customWidth="1"/>
    <col min="3" max="3" width="14.140625" style="205" customWidth="1"/>
    <col min="4" max="4" width="14.140625" style="205" customWidth="1" outlineLevel="1"/>
    <col min="5" max="5" width="14.140625" style="205" customWidth="1"/>
    <col min="6" max="6" width="27.42578125" style="205" customWidth="1"/>
    <col min="7" max="256" width="9.140625" style="205"/>
    <col min="257" max="257" width="7.42578125" style="205" customWidth="1"/>
    <col min="258" max="258" width="38" style="205" customWidth="1"/>
    <col min="259" max="261" width="14.140625" style="205" customWidth="1"/>
    <col min="262" max="262" width="27.42578125" style="205" customWidth="1"/>
    <col min="263" max="512" width="9.140625" style="205"/>
    <col min="513" max="513" width="7.42578125" style="205" customWidth="1"/>
    <col min="514" max="514" width="38" style="205" customWidth="1"/>
    <col min="515" max="517" width="14.140625" style="205" customWidth="1"/>
    <col min="518" max="518" width="27.42578125" style="205" customWidth="1"/>
    <col min="519" max="768" width="9.140625" style="205"/>
    <col min="769" max="769" width="7.42578125" style="205" customWidth="1"/>
    <col min="770" max="770" width="38" style="205" customWidth="1"/>
    <col min="771" max="773" width="14.140625" style="205" customWidth="1"/>
    <col min="774" max="774" width="27.42578125" style="205" customWidth="1"/>
    <col min="775" max="1024" width="9.140625" style="205"/>
    <col min="1025" max="1025" width="7.42578125" style="205" customWidth="1"/>
    <col min="1026" max="1026" width="38" style="205" customWidth="1"/>
    <col min="1027" max="1029" width="14.140625" style="205" customWidth="1"/>
    <col min="1030" max="1030" width="27.42578125" style="205" customWidth="1"/>
    <col min="1031" max="1280" width="9.140625" style="205"/>
    <col min="1281" max="1281" width="7.42578125" style="205" customWidth="1"/>
    <col min="1282" max="1282" width="38" style="205" customWidth="1"/>
    <col min="1283" max="1285" width="14.140625" style="205" customWidth="1"/>
    <col min="1286" max="1286" width="27.42578125" style="205" customWidth="1"/>
    <col min="1287" max="1536" width="9.140625" style="205"/>
    <col min="1537" max="1537" width="7.42578125" style="205" customWidth="1"/>
    <col min="1538" max="1538" width="38" style="205" customWidth="1"/>
    <col min="1539" max="1541" width="14.140625" style="205" customWidth="1"/>
    <col min="1542" max="1542" width="27.42578125" style="205" customWidth="1"/>
    <col min="1543" max="1792" width="9.140625" style="205"/>
    <col min="1793" max="1793" width="7.42578125" style="205" customWidth="1"/>
    <col min="1794" max="1794" width="38" style="205" customWidth="1"/>
    <col min="1795" max="1797" width="14.140625" style="205" customWidth="1"/>
    <col min="1798" max="1798" width="27.42578125" style="205" customWidth="1"/>
    <col min="1799" max="2048" width="9.140625" style="205"/>
    <col min="2049" max="2049" width="7.42578125" style="205" customWidth="1"/>
    <col min="2050" max="2050" width="38" style="205" customWidth="1"/>
    <col min="2051" max="2053" width="14.140625" style="205" customWidth="1"/>
    <col min="2054" max="2054" width="27.42578125" style="205" customWidth="1"/>
    <col min="2055" max="2304" width="9.140625" style="205"/>
    <col min="2305" max="2305" width="7.42578125" style="205" customWidth="1"/>
    <col min="2306" max="2306" width="38" style="205" customWidth="1"/>
    <col min="2307" max="2309" width="14.140625" style="205" customWidth="1"/>
    <col min="2310" max="2310" width="27.42578125" style="205" customWidth="1"/>
    <col min="2311" max="2560" width="9.140625" style="205"/>
    <col min="2561" max="2561" width="7.42578125" style="205" customWidth="1"/>
    <col min="2562" max="2562" width="38" style="205" customWidth="1"/>
    <col min="2563" max="2565" width="14.140625" style="205" customWidth="1"/>
    <col min="2566" max="2566" width="27.42578125" style="205" customWidth="1"/>
    <col min="2567" max="2816" width="9.140625" style="205"/>
    <col min="2817" max="2817" width="7.42578125" style="205" customWidth="1"/>
    <col min="2818" max="2818" width="38" style="205" customWidth="1"/>
    <col min="2819" max="2821" width="14.140625" style="205" customWidth="1"/>
    <col min="2822" max="2822" width="27.42578125" style="205" customWidth="1"/>
    <col min="2823" max="3072" width="9.140625" style="205"/>
    <col min="3073" max="3073" width="7.42578125" style="205" customWidth="1"/>
    <col min="3074" max="3074" width="38" style="205" customWidth="1"/>
    <col min="3075" max="3077" width="14.140625" style="205" customWidth="1"/>
    <col min="3078" max="3078" width="27.42578125" style="205" customWidth="1"/>
    <col min="3079" max="3328" width="9.140625" style="205"/>
    <col min="3329" max="3329" width="7.42578125" style="205" customWidth="1"/>
    <col min="3330" max="3330" width="38" style="205" customWidth="1"/>
    <col min="3331" max="3333" width="14.140625" style="205" customWidth="1"/>
    <col min="3334" max="3334" width="27.42578125" style="205" customWidth="1"/>
    <col min="3335" max="3584" width="9.140625" style="205"/>
    <col min="3585" max="3585" width="7.42578125" style="205" customWidth="1"/>
    <col min="3586" max="3586" width="38" style="205" customWidth="1"/>
    <col min="3587" max="3589" width="14.140625" style="205" customWidth="1"/>
    <col min="3590" max="3590" width="27.42578125" style="205" customWidth="1"/>
    <col min="3591" max="3840" width="9.140625" style="205"/>
    <col min="3841" max="3841" width="7.42578125" style="205" customWidth="1"/>
    <col min="3842" max="3842" width="38" style="205" customWidth="1"/>
    <col min="3843" max="3845" width="14.140625" style="205" customWidth="1"/>
    <col min="3846" max="3846" width="27.42578125" style="205" customWidth="1"/>
    <col min="3847" max="4096" width="9.140625" style="205"/>
    <col min="4097" max="4097" width="7.42578125" style="205" customWidth="1"/>
    <col min="4098" max="4098" width="38" style="205" customWidth="1"/>
    <col min="4099" max="4101" width="14.140625" style="205" customWidth="1"/>
    <col min="4102" max="4102" width="27.42578125" style="205" customWidth="1"/>
    <col min="4103" max="4352" width="9.140625" style="205"/>
    <col min="4353" max="4353" width="7.42578125" style="205" customWidth="1"/>
    <col min="4354" max="4354" width="38" style="205" customWidth="1"/>
    <col min="4355" max="4357" width="14.140625" style="205" customWidth="1"/>
    <col min="4358" max="4358" width="27.42578125" style="205" customWidth="1"/>
    <col min="4359" max="4608" width="9.140625" style="205"/>
    <col min="4609" max="4609" width="7.42578125" style="205" customWidth="1"/>
    <col min="4610" max="4610" width="38" style="205" customWidth="1"/>
    <col min="4611" max="4613" width="14.140625" style="205" customWidth="1"/>
    <col min="4614" max="4614" width="27.42578125" style="205" customWidth="1"/>
    <col min="4615" max="4864" width="9.140625" style="205"/>
    <col min="4865" max="4865" width="7.42578125" style="205" customWidth="1"/>
    <col min="4866" max="4866" width="38" style="205" customWidth="1"/>
    <col min="4867" max="4869" width="14.140625" style="205" customWidth="1"/>
    <col min="4870" max="4870" width="27.42578125" style="205" customWidth="1"/>
    <col min="4871" max="5120" width="9.140625" style="205"/>
    <col min="5121" max="5121" width="7.42578125" style="205" customWidth="1"/>
    <col min="5122" max="5122" width="38" style="205" customWidth="1"/>
    <col min="5123" max="5125" width="14.140625" style="205" customWidth="1"/>
    <col min="5126" max="5126" width="27.42578125" style="205" customWidth="1"/>
    <col min="5127" max="5376" width="9.140625" style="205"/>
    <col min="5377" max="5377" width="7.42578125" style="205" customWidth="1"/>
    <col min="5378" max="5378" width="38" style="205" customWidth="1"/>
    <col min="5379" max="5381" width="14.140625" style="205" customWidth="1"/>
    <col min="5382" max="5382" width="27.42578125" style="205" customWidth="1"/>
    <col min="5383" max="5632" width="9.140625" style="205"/>
    <col min="5633" max="5633" width="7.42578125" style="205" customWidth="1"/>
    <col min="5634" max="5634" width="38" style="205" customWidth="1"/>
    <col min="5635" max="5637" width="14.140625" style="205" customWidth="1"/>
    <col min="5638" max="5638" width="27.42578125" style="205" customWidth="1"/>
    <col min="5639" max="5888" width="9.140625" style="205"/>
    <col min="5889" max="5889" width="7.42578125" style="205" customWidth="1"/>
    <col min="5890" max="5890" width="38" style="205" customWidth="1"/>
    <col min="5891" max="5893" width="14.140625" style="205" customWidth="1"/>
    <col min="5894" max="5894" width="27.42578125" style="205" customWidth="1"/>
    <col min="5895" max="6144" width="9.140625" style="205"/>
    <col min="6145" max="6145" width="7.42578125" style="205" customWidth="1"/>
    <col min="6146" max="6146" width="38" style="205" customWidth="1"/>
    <col min="6147" max="6149" width="14.140625" style="205" customWidth="1"/>
    <col min="6150" max="6150" width="27.42578125" style="205" customWidth="1"/>
    <col min="6151" max="6400" width="9.140625" style="205"/>
    <col min="6401" max="6401" width="7.42578125" style="205" customWidth="1"/>
    <col min="6402" max="6402" width="38" style="205" customWidth="1"/>
    <col min="6403" max="6405" width="14.140625" style="205" customWidth="1"/>
    <col min="6406" max="6406" width="27.42578125" style="205" customWidth="1"/>
    <col min="6407" max="6656" width="9.140625" style="205"/>
    <col min="6657" max="6657" width="7.42578125" style="205" customWidth="1"/>
    <col min="6658" max="6658" width="38" style="205" customWidth="1"/>
    <col min="6659" max="6661" width="14.140625" style="205" customWidth="1"/>
    <col min="6662" max="6662" width="27.42578125" style="205" customWidth="1"/>
    <col min="6663" max="6912" width="9.140625" style="205"/>
    <col min="6913" max="6913" width="7.42578125" style="205" customWidth="1"/>
    <col min="6914" max="6914" width="38" style="205" customWidth="1"/>
    <col min="6915" max="6917" width="14.140625" style="205" customWidth="1"/>
    <col min="6918" max="6918" width="27.42578125" style="205" customWidth="1"/>
    <col min="6919" max="7168" width="9.140625" style="205"/>
    <col min="7169" max="7169" width="7.42578125" style="205" customWidth="1"/>
    <col min="7170" max="7170" width="38" style="205" customWidth="1"/>
    <col min="7171" max="7173" width="14.140625" style="205" customWidth="1"/>
    <col min="7174" max="7174" width="27.42578125" style="205" customWidth="1"/>
    <col min="7175" max="7424" width="9.140625" style="205"/>
    <col min="7425" max="7425" width="7.42578125" style="205" customWidth="1"/>
    <col min="7426" max="7426" width="38" style="205" customWidth="1"/>
    <col min="7427" max="7429" width="14.140625" style="205" customWidth="1"/>
    <col min="7430" max="7430" width="27.42578125" style="205" customWidth="1"/>
    <col min="7431" max="7680" width="9.140625" style="205"/>
    <col min="7681" max="7681" width="7.42578125" style="205" customWidth="1"/>
    <col min="7682" max="7682" width="38" style="205" customWidth="1"/>
    <col min="7683" max="7685" width="14.140625" style="205" customWidth="1"/>
    <col min="7686" max="7686" width="27.42578125" style="205" customWidth="1"/>
    <col min="7687" max="7936" width="9.140625" style="205"/>
    <col min="7937" max="7937" width="7.42578125" style="205" customWidth="1"/>
    <col min="7938" max="7938" width="38" style="205" customWidth="1"/>
    <col min="7939" max="7941" width="14.140625" style="205" customWidth="1"/>
    <col min="7942" max="7942" width="27.42578125" style="205" customWidth="1"/>
    <col min="7943" max="8192" width="9.140625" style="205"/>
    <col min="8193" max="8193" width="7.42578125" style="205" customWidth="1"/>
    <col min="8194" max="8194" width="38" style="205" customWidth="1"/>
    <col min="8195" max="8197" width="14.140625" style="205" customWidth="1"/>
    <col min="8198" max="8198" width="27.42578125" style="205" customWidth="1"/>
    <col min="8199" max="8448" width="9.140625" style="205"/>
    <col min="8449" max="8449" width="7.42578125" style="205" customWidth="1"/>
    <col min="8450" max="8450" width="38" style="205" customWidth="1"/>
    <col min="8451" max="8453" width="14.140625" style="205" customWidth="1"/>
    <col min="8454" max="8454" width="27.42578125" style="205" customWidth="1"/>
    <col min="8455" max="8704" width="9.140625" style="205"/>
    <col min="8705" max="8705" width="7.42578125" style="205" customWidth="1"/>
    <col min="8706" max="8706" width="38" style="205" customWidth="1"/>
    <col min="8707" max="8709" width="14.140625" style="205" customWidth="1"/>
    <col min="8710" max="8710" width="27.42578125" style="205" customWidth="1"/>
    <col min="8711" max="8960" width="9.140625" style="205"/>
    <col min="8961" max="8961" width="7.42578125" style="205" customWidth="1"/>
    <col min="8962" max="8962" width="38" style="205" customWidth="1"/>
    <col min="8963" max="8965" width="14.140625" style="205" customWidth="1"/>
    <col min="8966" max="8966" width="27.42578125" style="205" customWidth="1"/>
    <col min="8967" max="9216" width="9.140625" style="205"/>
    <col min="9217" max="9217" width="7.42578125" style="205" customWidth="1"/>
    <col min="9218" max="9218" width="38" style="205" customWidth="1"/>
    <col min="9219" max="9221" width="14.140625" style="205" customWidth="1"/>
    <col min="9222" max="9222" width="27.42578125" style="205" customWidth="1"/>
    <col min="9223" max="9472" width="9.140625" style="205"/>
    <col min="9473" max="9473" width="7.42578125" style="205" customWidth="1"/>
    <col min="9474" max="9474" width="38" style="205" customWidth="1"/>
    <col min="9475" max="9477" width="14.140625" style="205" customWidth="1"/>
    <col min="9478" max="9478" width="27.42578125" style="205" customWidth="1"/>
    <col min="9479" max="9728" width="9.140625" style="205"/>
    <col min="9729" max="9729" width="7.42578125" style="205" customWidth="1"/>
    <col min="9730" max="9730" width="38" style="205" customWidth="1"/>
    <col min="9731" max="9733" width="14.140625" style="205" customWidth="1"/>
    <col min="9734" max="9734" width="27.42578125" style="205" customWidth="1"/>
    <col min="9735" max="9984" width="9.140625" style="205"/>
    <col min="9985" max="9985" width="7.42578125" style="205" customWidth="1"/>
    <col min="9986" max="9986" width="38" style="205" customWidth="1"/>
    <col min="9987" max="9989" width="14.140625" style="205" customWidth="1"/>
    <col min="9990" max="9990" width="27.42578125" style="205" customWidth="1"/>
    <col min="9991" max="10240" width="9.140625" style="205"/>
    <col min="10241" max="10241" width="7.42578125" style="205" customWidth="1"/>
    <col min="10242" max="10242" width="38" style="205" customWidth="1"/>
    <col min="10243" max="10245" width="14.140625" style="205" customWidth="1"/>
    <col min="10246" max="10246" width="27.42578125" style="205" customWidth="1"/>
    <col min="10247" max="10496" width="9.140625" style="205"/>
    <col min="10497" max="10497" width="7.42578125" style="205" customWidth="1"/>
    <col min="10498" max="10498" width="38" style="205" customWidth="1"/>
    <col min="10499" max="10501" width="14.140625" style="205" customWidth="1"/>
    <col min="10502" max="10502" width="27.42578125" style="205" customWidth="1"/>
    <col min="10503" max="10752" width="9.140625" style="205"/>
    <col min="10753" max="10753" width="7.42578125" style="205" customWidth="1"/>
    <col min="10754" max="10754" width="38" style="205" customWidth="1"/>
    <col min="10755" max="10757" width="14.140625" style="205" customWidth="1"/>
    <col min="10758" max="10758" width="27.42578125" style="205" customWidth="1"/>
    <col min="10759" max="11008" width="9.140625" style="205"/>
    <col min="11009" max="11009" width="7.42578125" style="205" customWidth="1"/>
    <col min="11010" max="11010" width="38" style="205" customWidth="1"/>
    <col min="11011" max="11013" width="14.140625" style="205" customWidth="1"/>
    <col min="11014" max="11014" width="27.42578125" style="205" customWidth="1"/>
    <col min="11015" max="11264" width="9.140625" style="205"/>
    <col min="11265" max="11265" width="7.42578125" style="205" customWidth="1"/>
    <col min="11266" max="11266" width="38" style="205" customWidth="1"/>
    <col min="11267" max="11269" width="14.140625" style="205" customWidth="1"/>
    <col min="11270" max="11270" width="27.42578125" style="205" customWidth="1"/>
    <col min="11271" max="11520" width="9.140625" style="205"/>
    <col min="11521" max="11521" width="7.42578125" style="205" customWidth="1"/>
    <col min="11522" max="11522" width="38" style="205" customWidth="1"/>
    <col min="11523" max="11525" width="14.140625" style="205" customWidth="1"/>
    <col min="11526" max="11526" width="27.42578125" style="205" customWidth="1"/>
    <col min="11527" max="11776" width="9.140625" style="205"/>
    <col min="11777" max="11777" width="7.42578125" style="205" customWidth="1"/>
    <col min="11778" max="11778" width="38" style="205" customWidth="1"/>
    <col min="11779" max="11781" width="14.140625" style="205" customWidth="1"/>
    <col min="11782" max="11782" width="27.42578125" style="205" customWidth="1"/>
    <col min="11783" max="12032" width="9.140625" style="205"/>
    <col min="12033" max="12033" width="7.42578125" style="205" customWidth="1"/>
    <col min="12034" max="12034" width="38" style="205" customWidth="1"/>
    <col min="12035" max="12037" width="14.140625" style="205" customWidth="1"/>
    <col min="12038" max="12038" width="27.42578125" style="205" customWidth="1"/>
    <col min="12039" max="12288" width="9.140625" style="205"/>
    <col min="12289" max="12289" width="7.42578125" style="205" customWidth="1"/>
    <col min="12290" max="12290" width="38" style="205" customWidth="1"/>
    <col min="12291" max="12293" width="14.140625" style="205" customWidth="1"/>
    <col min="12294" max="12294" width="27.42578125" style="205" customWidth="1"/>
    <col min="12295" max="12544" width="9.140625" style="205"/>
    <col min="12545" max="12545" width="7.42578125" style="205" customWidth="1"/>
    <col min="12546" max="12546" width="38" style="205" customWidth="1"/>
    <col min="12547" max="12549" width="14.140625" style="205" customWidth="1"/>
    <col min="12550" max="12550" width="27.42578125" style="205" customWidth="1"/>
    <col min="12551" max="12800" width="9.140625" style="205"/>
    <col min="12801" max="12801" width="7.42578125" style="205" customWidth="1"/>
    <col min="12802" max="12802" width="38" style="205" customWidth="1"/>
    <col min="12803" max="12805" width="14.140625" style="205" customWidth="1"/>
    <col min="12806" max="12806" width="27.42578125" style="205" customWidth="1"/>
    <col min="12807" max="13056" width="9.140625" style="205"/>
    <col min="13057" max="13057" width="7.42578125" style="205" customWidth="1"/>
    <col min="13058" max="13058" width="38" style="205" customWidth="1"/>
    <col min="13059" max="13061" width="14.140625" style="205" customWidth="1"/>
    <col min="13062" max="13062" width="27.42578125" style="205" customWidth="1"/>
    <col min="13063" max="13312" width="9.140625" style="205"/>
    <col min="13313" max="13313" width="7.42578125" style="205" customWidth="1"/>
    <col min="13314" max="13314" width="38" style="205" customWidth="1"/>
    <col min="13315" max="13317" width="14.140625" style="205" customWidth="1"/>
    <col min="13318" max="13318" width="27.42578125" style="205" customWidth="1"/>
    <col min="13319" max="13568" width="9.140625" style="205"/>
    <col min="13569" max="13569" width="7.42578125" style="205" customWidth="1"/>
    <col min="13570" max="13570" width="38" style="205" customWidth="1"/>
    <col min="13571" max="13573" width="14.140625" style="205" customWidth="1"/>
    <col min="13574" max="13574" width="27.42578125" style="205" customWidth="1"/>
    <col min="13575" max="13824" width="9.140625" style="205"/>
    <col min="13825" max="13825" width="7.42578125" style="205" customWidth="1"/>
    <col min="13826" max="13826" width="38" style="205" customWidth="1"/>
    <col min="13827" max="13829" width="14.140625" style="205" customWidth="1"/>
    <col min="13830" max="13830" width="27.42578125" style="205" customWidth="1"/>
    <col min="13831" max="14080" width="9.140625" style="205"/>
    <col min="14081" max="14081" width="7.42578125" style="205" customWidth="1"/>
    <col min="14082" max="14082" width="38" style="205" customWidth="1"/>
    <col min="14083" max="14085" width="14.140625" style="205" customWidth="1"/>
    <col min="14086" max="14086" width="27.42578125" style="205" customWidth="1"/>
    <col min="14087" max="14336" width="9.140625" style="205"/>
    <col min="14337" max="14337" width="7.42578125" style="205" customWidth="1"/>
    <col min="14338" max="14338" width="38" style="205" customWidth="1"/>
    <col min="14339" max="14341" width="14.140625" style="205" customWidth="1"/>
    <col min="14342" max="14342" width="27.42578125" style="205" customWidth="1"/>
    <col min="14343" max="14592" width="9.140625" style="205"/>
    <col min="14593" max="14593" width="7.42578125" style="205" customWidth="1"/>
    <col min="14594" max="14594" width="38" style="205" customWidth="1"/>
    <col min="14595" max="14597" width="14.140625" style="205" customWidth="1"/>
    <col min="14598" max="14598" width="27.42578125" style="205" customWidth="1"/>
    <col min="14599" max="14848" width="9.140625" style="205"/>
    <col min="14849" max="14849" width="7.42578125" style="205" customWidth="1"/>
    <col min="14850" max="14850" width="38" style="205" customWidth="1"/>
    <col min="14851" max="14853" width="14.140625" style="205" customWidth="1"/>
    <col min="14854" max="14854" width="27.42578125" style="205" customWidth="1"/>
    <col min="14855" max="15104" width="9.140625" style="205"/>
    <col min="15105" max="15105" width="7.42578125" style="205" customWidth="1"/>
    <col min="15106" max="15106" width="38" style="205" customWidth="1"/>
    <col min="15107" max="15109" width="14.140625" style="205" customWidth="1"/>
    <col min="15110" max="15110" width="27.42578125" style="205" customWidth="1"/>
    <col min="15111" max="15360" width="9.140625" style="205"/>
    <col min="15361" max="15361" width="7.42578125" style="205" customWidth="1"/>
    <col min="15362" max="15362" width="38" style="205" customWidth="1"/>
    <col min="15363" max="15365" width="14.140625" style="205" customWidth="1"/>
    <col min="15366" max="15366" width="27.42578125" style="205" customWidth="1"/>
    <col min="15367" max="15616" width="9.140625" style="205"/>
    <col min="15617" max="15617" width="7.42578125" style="205" customWidth="1"/>
    <col min="15618" max="15618" width="38" style="205" customWidth="1"/>
    <col min="15619" max="15621" width="14.140625" style="205" customWidth="1"/>
    <col min="15622" max="15622" width="27.42578125" style="205" customWidth="1"/>
    <col min="15623" max="15872" width="9.140625" style="205"/>
    <col min="15873" max="15873" width="7.42578125" style="205" customWidth="1"/>
    <col min="15874" max="15874" width="38" style="205" customWidth="1"/>
    <col min="15875" max="15877" width="14.140625" style="205" customWidth="1"/>
    <col min="15878" max="15878" width="27.42578125" style="205" customWidth="1"/>
    <col min="15879" max="16128" width="9.140625" style="205"/>
    <col min="16129" max="16129" width="7.42578125" style="205" customWidth="1"/>
    <col min="16130" max="16130" width="38" style="205" customWidth="1"/>
    <col min="16131" max="16133" width="14.140625" style="205" customWidth="1"/>
    <col min="16134" max="16134" width="27.42578125" style="205" customWidth="1"/>
    <col min="16135" max="16384" width="9.140625" style="205"/>
  </cols>
  <sheetData>
    <row r="1" spans="1:6" ht="58.5" customHeight="1">
      <c r="B1" s="316"/>
      <c r="C1" s="384" t="s">
        <v>478</v>
      </c>
      <c r="D1" s="384"/>
      <c r="E1" s="384"/>
    </row>
    <row r="2" spans="1:6" ht="18.75">
      <c r="A2" s="317"/>
      <c r="B2" s="318"/>
      <c r="C2" s="317"/>
      <c r="D2" s="317"/>
      <c r="E2" s="317"/>
      <c r="F2" s="300"/>
    </row>
    <row r="3" spans="1:6" ht="64.5" customHeight="1">
      <c r="A3" s="385" t="s">
        <v>479</v>
      </c>
      <c r="B3" s="385"/>
      <c r="C3" s="385"/>
      <c r="D3" s="385"/>
      <c r="E3" s="385"/>
      <c r="F3" s="209"/>
    </row>
    <row r="4" spans="1:6" ht="18.75">
      <c r="B4" s="319"/>
    </row>
    <row r="5" spans="1:6" ht="24.75" customHeight="1">
      <c r="A5" s="386" t="s">
        <v>160</v>
      </c>
      <c r="B5" s="386" t="s">
        <v>239</v>
      </c>
      <c r="C5" s="386" t="s">
        <v>240</v>
      </c>
      <c r="D5" s="386" t="s">
        <v>407</v>
      </c>
      <c r="E5" s="386" t="s">
        <v>408</v>
      </c>
    </row>
    <row r="6" spans="1:6" ht="47.25" customHeight="1">
      <c r="A6" s="386"/>
      <c r="B6" s="386"/>
      <c r="C6" s="386"/>
      <c r="D6" s="386"/>
      <c r="E6" s="386"/>
    </row>
    <row r="7" spans="1:6" ht="18" customHeight="1">
      <c r="A7" s="298">
        <v>1</v>
      </c>
      <c r="B7" s="298">
        <v>2</v>
      </c>
      <c r="C7" s="298">
        <v>3</v>
      </c>
      <c r="D7" s="298">
        <v>4</v>
      </c>
      <c r="E7" s="298">
        <v>5</v>
      </c>
    </row>
    <row r="8" spans="1:6" ht="57" customHeight="1">
      <c r="A8" s="298">
        <v>1</v>
      </c>
      <c r="B8" s="212" t="s">
        <v>480</v>
      </c>
      <c r="C8" s="298" t="s">
        <v>242</v>
      </c>
      <c r="D8" s="292">
        <v>100</v>
      </c>
      <c r="E8" s="292">
        <v>100</v>
      </c>
    </row>
    <row r="9" spans="1:6" ht="36.75" customHeight="1">
      <c r="A9" s="298">
        <v>2</v>
      </c>
      <c r="B9" s="212" t="s">
        <v>481</v>
      </c>
      <c r="C9" s="298" t="s">
        <v>245</v>
      </c>
      <c r="D9" s="320">
        <v>7818</v>
      </c>
      <c r="E9" s="320">
        <v>7818</v>
      </c>
    </row>
    <row r="10" spans="1:6" ht="39" customHeight="1">
      <c r="A10" s="298">
        <v>3</v>
      </c>
      <c r="B10" s="212" t="s">
        <v>482</v>
      </c>
      <c r="C10" s="298" t="s">
        <v>410</v>
      </c>
      <c r="D10" s="320">
        <v>0.41</v>
      </c>
      <c r="E10" s="320">
        <v>0.7</v>
      </c>
    </row>
    <row r="11" spans="1:6" ht="42.75" customHeight="1">
      <c r="A11" s="298">
        <v>4</v>
      </c>
      <c r="B11" s="212" t="s">
        <v>483</v>
      </c>
      <c r="C11" s="298" t="s">
        <v>410</v>
      </c>
      <c r="D11" s="320">
        <v>0.18</v>
      </c>
      <c r="E11" s="320">
        <v>0.33</v>
      </c>
    </row>
  </sheetData>
  <mergeCells count="7">
    <mergeCell ref="C1:E1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вода</vt:lpstr>
      <vt:lpstr>ФОТ</vt:lpstr>
      <vt:lpstr>объемы</vt:lpstr>
      <vt:lpstr>прил 1 Вода</vt:lpstr>
      <vt:lpstr>прил1 Стоки</vt:lpstr>
      <vt:lpstr>прил2Стоки</vt:lpstr>
      <vt:lpstr>прил 2 Вода</vt:lpstr>
      <vt:lpstr>приложение 3</vt:lpstr>
      <vt:lpstr>прил4Стоки</vt:lpstr>
      <vt:lpstr>прил 4 Вода</vt:lpstr>
      <vt:lpstr>приложение 5</vt:lpstr>
      <vt:lpstr>приложение 6</vt:lpstr>
      <vt:lpstr>прил7Стоки</vt:lpstr>
      <vt:lpstr>прил7Вода</vt:lpstr>
      <vt:lpstr>электроэнергия</vt:lpstr>
      <vt:lpstr>ФОТ АУП</vt:lpstr>
      <vt:lpstr>водный налог</vt:lpstr>
      <vt:lpstr>прил3Стоки</vt:lpstr>
      <vt:lpstr>прил 3аВода</vt:lpstr>
      <vt:lpstr>прил4Стоки!Область_печати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PETROVA</cp:lastModifiedBy>
  <cp:lastPrinted>2013-11-08T11:32:16Z</cp:lastPrinted>
  <dcterms:created xsi:type="dcterms:W3CDTF">2013-07-04T03:05:04Z</dcterms:created>
  <dcterms:modified xsi:type="dcterms:W3CDTF">2013-11-13T11:11:18Z</dcterms:modified>
</cp:coreProperties>
</file>